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-17532" windowWidth="25440" windowHeight="15996"/>
  </bookViews>
  <sheets>
    <sheet name="Simulation BSA" sheetId="2" r:id="rId1"/>
    <sheet name="Data" sheetId="3" state="hidden" r:id="rId2"/>
  </sheets>
  <definedNames>
    <definedName name="Levée">Data!$K$2:$K$18</definedName>
    <definedName name="Nombre_BSA">Data!$L$2:$L$31</definedName>
    <definedName name="Valorisation">Data!$A$2:$A$90</definedName>
  </definedNames>
  <calcPr calcId="14562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  <c r="G11" i="2" s="1"/>
  <c r="B32" i="2" l="1"/>
  <c r="D3" i="3" l="1"/>
  <c r="E3" i="3" s="1"/>
  <c r="D4" i="3"/>
  <c r="E4" i="3" s="1"/>
  <c r="D5" i="3"/>
  <c r="E5" i="3" s="1"/>
  <c r="D6" i="3"/>
  <c r="E6" i="3" s="1"/>
  <c r="D7" i="3"/>
  <c r="E7" i="3" s="1"/>
  <c r="D8" i="3"/>
  <c r="E8" i="3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H7" i="3" l="1"/>
  <c r="B11" i="2"/>
  <c r="B2" i="3" l="1"/>
  <c r="C2" i="3"/>
  <c r="D2" i="3"/>
  <c r="E2" i="3" s="1"/>
  <c r="H6" i="3" l="1"/>
  <c r="I6" i="3" s="1"/>
  <c r="H2" i="3"/>
  <c r="I2" i="3" s="1"/>
  <c r="N4" i="3"/>
  <c r="N3" i="3"/>
  <c r="N2" i="3"/>
  <c r="E34" i="2"/>
  <c r="H18" i="2" l="1"/>
  <c r="H19" i="2" s="1"/>
  <c r="H20" i="2" l="1"/>
  <c r="H21" i="2" s="1"/>
  <c r="B23" i="2"/>
  <c r="G32" i="2"/>
  <c r="D15" i="3" l="1"/>
  <c r="E15" i="3" s="1"/>
  <c r="D27" i="3"/>
  <c r="E27" i="3" s="1"/>
  <c r="D39" i="3"/>
  <c r="E39" i="3" s="1"/>
  <c r="D17" i="3"/>
  <c r="E17" i="3" s="1"/>
  <c r="D29" i="3"/>
  <c r="E29" i="3" s="1"/>
  <c r="D18" i="3"/>
  <c r="E18" i="3" s="1"/>
  <c r="D30" i="3"/>
  <c r="E30" i="3" s="1"/>
  <c r="D43" i="3"/>
  <c r="E43" i="3" s="1"/>
  <c r="D20" i="3"/>
  <c r="E20" i="3" s="1"/>
  <c r="D32" i="3"/>
  <c r="E32" i="3" s="1"/>
  <c r="D44" i="3"/>
  <c r="E44" i="3" s="1"/>
  <c r="D24" i="3"/>
  <c r="E24" i="3" s="1"/>
  <c r="D49" i="3"/>
  <c r="E49" i="3" s="1"/>
  <c r="D50" i="3"/>
  <c r="E50" i="3" s="1"/>
  <c r="D16" i="3"/>
  <c r="E16" i="3" s="1"/>
  <c r="D28" i="3"/>
  <c r="E28" i="3" s="1"/>
  <c r="D40" i="3"/>
  <c r="E40" i="3" s="1"/>
  <c r="D41" i="3"/>
  <c r="E41" i="3" s="1"/>
  <c r="D42" i="3"/>
  <c r="E42" i="3" s="1"/>
  <c r="D19" i="3"/>
  <c r="E19" i="3" s="1"/>
  <c r="D31" i="3"/>
  <c r="E31" i="3" s="1"/>
  <c r="D37" i="3"/>
  <c r="E37" i="3" s="1"/>
  <c r="D9" i="3"/>
  <c r="E9" i="3" s="1"/>
  <c r="D21" i="3"/>
  <c r="E21" i="3" s="1"/>
  <c r="D33" i="3"/>
  <c r="E33" i="3" s="1"/>
  <c r="D45" i="3"/>
  <c r="E45" i="3" s="1"/>
  <c r="D23" i="3"/>
  <c r="E23" i="3" s="1"/>
  <c r="D47" i="3"/>
  <c r="E47" i="3" s="1"/>
  <c r="D48" i="3"/>
  <c r="E48" i="3" s="1"/>
  <c r="D10" i="3"/>
  <c r="E10" i="3" s="1"/>
  <c r="D22" i="3"/>
  <c r="E22" i="3" s="1"/>
  <c r="D34" i="3"/>
  <c r="E34" i="3" s="1"/>
  <c r="D46" i="3"/>
  <c r="E46" i="3" s="1"/>
  <c r="D11" i="3"/>
  <c r="E11" i="3" s="1"/>
  <c r="D35" i="3"/>
  <c r="E35" i="3" s="1"/>
  <c r="D36" i="3"/>
  <c r="E36" i="3" s="1"/>
  <c r="D26" i="3"/>
  <c r="E26" i="3" s="1"/>
  <c r="D12" i="3"/>
  <c r="E12" i="3" s="1"/>
  <c r="D14" i="3"/>
  <c r="E14" i="3" s="1"/>
  <c r="D13" i="3"/>
  <c r="E13" i="3" s="1"/>
  <c r="D25" i="3"/>
  <c r="E25" i="3" s="1"/>
  <c r="D38" i="3"/>
  <c r="E38" i="3" s="1"/>
  <c r="H22" i="2"/>
  <c r="H25" i="2" s="1"/>
  <c r="H26" i="2" s="1"/>
  <c r="H27" i="2" s="1"/>
  <c r="G18" i="2"/>
  <c r="I18" i="2"/>
  <c r="I19" i="2" s="1"/>
  <c r="H23" i="2" l="1"/>
  <c r="I7" i="3"/>
  <c r="G12" i="2"/>
  <c r="G19" i="2"/>
  <c r="G20" i="2" s="1"/>
  <c r="G21" i="2" s="1"/>
  <c r="G22" i="2" s="1"/>
  <c r="I20" i="2"/>
  <c r="I21" i="2" s="1"/>
  <c r="I22" i="2" s="1"/>
  <c r="G29" i="2" l="1"/>
  <c r="G14" i="2"/>
  <c r="G35" i="2" s="1"/>
  <c r="G13" i="2"/>
  <c r="I25" i="2"/>
  <c r="I26" i="2" s="1"/>
  <c r="I27" i="2" s="1"/>
  <c r="G25" i="2"/>
  <c r="I23" i="2"/>
  <c r="G15" i="2" l="1"/>
  <c r="G26" i="2"/>
  <c r="G27" i="2" s="1"/>
  <c r="G34" i="2"/>
  <c r="G33" i="2"/>
  <c r="G23" i="2"/>
  <c r="G39" i="2" l="1"/>
  <c r="G36" i="2"/>
  <c r="G37" i="2" l="1"/>
  <c r="H33" i="2" l="1"/>
  <c r="H34" i="2" s="1"/>
  <c r="B33" i="2"/>
  <c r="H35" i="2"/>
  <c r="O4" i="3" s="1"/>
  <c r="H32" i="2"/>
  <c r="O2" i="3" s="1"/>
  <c r="H36" i="2"/>
  <c r="H37" i="2"/>
  <c r="I34" i="2" l="1"/>
  <c r="O3" i="3"/>
</calcChain>
</file>

<file path=xl/sharedStrings.xml><?xml version="1.0" encoding="utf-8"?>
<sst xmlns="http://schemas.openxmlformats.org/spreadsheetml/2006/main" count="75" uniqueCount="65">
  <si>
    <t>Outil de simulation de BSA AIR</t>
  </si>
  <si>
    <t>Paramètres BSA AIR</t>
  </si>
  <si>
    <t>Nombre d'actions initiales (fondateurs)</t>
  </si>
  <si>
    <t>Nb d'actions</t>
  </si>
  <si>
    <t>% capital</t>
  </si>
  <si>
    <t>Fondateurs</t>
  </si>
  <si>
    <t>Valorisation de référence (pour exercice des BSA AIR)</t>
  </si>
  <si>
    <t>Prix par action (BSA AIR)</t>
  </si>
  <si>
    <t>Nombre d'actions ordinaires (N air)</t>
  </si>
  <si>
    <t>Arrondi à</t>
  </si>
  <si>
    <t>Dont prime d'émission par action (N Air)</t>
  </si>
  <si>
    <t>Prime d'émission totale (N air)</t>
  </si>
  <si>
    <t>Emission des actions pre-seed</t>
  </si>
  <si>
    <t>Paramètres pre-seed</t>
  </si>
  <si>
    <t>Investisseurs pre-seed</t>
  </si>
  <si>
    <t>Dont prime d'émission par action (pre-seed)</t>
  </si>
  <si>
    <t>Prime d'émission totale (pre-seed)</t>
  </si>
  <si>
    <t>Prime d'émission totale AIR + pre-seed</t>
  </si>
  <si>
    <t xml:space="preserve">&gt;= Cap </t>
  </si>
  <si>
    <t>&lt;= Floor</t>
  </si>
  <si>
    <t>Prix par action (investisseurs pre-seed)</t>
  </si>
  <si>
    <t>Nombre d'actions ordinaires (pre-seed)</t>
  </si>
  <si>
    <t>Souscripteurs AIR</t>
  </si>
  <si>
    <t>Emission des actions BSA AIR</t>
  </si>
  <si>
    <t>Hypothèses modifiables</t>
  </si>
  <si>
    <t>Décote réelle</t>
  </si>
  <si>
    <t>Valorisation</t>
  </si>
  <si>
    <t>Valorisation BSA</t>
  </si>
  <si>
    <t>Action BSA</t>
  </si>
  <si>
    <t>Action pre-seed</t>
  </si>
  <si>
    <t>Montant de la prime d'émission AIR</t>
  </si>
  <si>
    <t>Valorisation Floor</t>
  </si>
  <si>
    <t>Valorisation Cap</t>
  </si>
  <si>
    <t>AIR + pre-seed</t>
  </si>
  <si>
    <t>TOTAL</t>
  </si>
  <si>
    <t>Actionnairres</t>
  </si>
  <si>
    <t>Levée pre-seed</t>
  </si>
  <si>
    <t>Nombre BSA AIR</t>
  </si>
  <si>
    <t>dont</t>
  </si>
  <si>
    <t>BSA AIR</t>
  </si>
  <si>
    <t>Synthèse</t>
  </si>
  <si>
    <r>
      <t xml:space="preserve"> Les valeurs en </t>
    </r>
    <r>
      <rPr>
        <b/>
        <sz val="9"/>
        <color rgb="FFFF0000"/>
        <rFont val="Arial"/>
        <family val="2"/>
      </rPr>
      <t xml:space="preserve">rouge gras
</t>
    </r>
    <r>
      <rPr>
        <sz val="9"/>
        <color rgb="FF000000"/>
        <rFont val="Arial"/>
        <family val="2"/>
      </rPr>
      <t xml:space="preserve">dans des cases jaune vif
sont </t>
    </r>
    <r>
      <rPr>
        <b/>
        <sz val="9"/>
        <color rgb="FFFF0000"/>
        <rFont val="Arial"/>
        <family val="2"/>
      </rPr>
      <t xml:space="preserve">des listes déroulantes
</t>
    </r>
    <r>
      <rPr>
        <sz val="9"/>
        <color rgb="FF000000"/>
        <rFont val="Arial"/>
        <family val="2"/>
      </rPr>
      <t>pour vous permettre de tester
vos hypothèses.</t>
    </r>
  </si>
  <si>
    <r>
      <rPr>
        <b/>
        <sz val="9"/>
        <color rgb="FF000000"/>
        <rFont val="Wingdings"/>
        <charset val="2"/>
      </rPr>
      <t>l</t>
    </r>
    <r>
      <rPr>
        <b/>
        <sz val="9"/>
        <color rgb="FF000000"/>
        <rFont val="Arial"/>
        <family val="2"/>
      </rPr>
      <t xml:space="preserve"> Les BSA AIR sont adossés à une levée de fond dite "pre-seed" qui constitue "l'évènement déclencheur" pour leur conversion en actions.</t>
    </r>
  </si>
  <si>
    <r>
      <rPr>
        <b/>
        <sz val="9"/>
        <color rgb="FF000000"/>
        <rFont val="Wingdings"/>
        <charset val="2"/>
      </rPr>
      <t>l</t>
    </r>
    <r>
      <rPr>
        <b/>
        <sz val="9"/>
        <color rgb="FF000000"/>
        <rFont val="Arial"/>
        <family val="2"/>
      </rPr>
      <t xml:space="preserve"> Le nombre d'actions auxquelles chaque BSA donne droit ne sera connu qu'une fois finalisé "l'évènement déclencheur".</t>
    </r>
  </si>
  <si>
    <r>
      <rPr>
        <b/>
        <sz val="9"/>
        <color rgb="FF000000"/>
        <rFont val="Wingdings"/>
        <charset val="2"/>
      </rPr>
      <t>l</t>
    </r>
    <r>
      <rPr>
        <b/>
        <sz val="9"/>
        <color rgb="FF000000"/>
        <rFont val="Arial"/>
        <family val="2"/>
      </rPr>
      <t xml:space="preserve"> Cette valeur nominale dépendra du nombre d'actions attribuées au terme de "l'évènement déclencheur" et donnera lieu à règlement séparé lors de la conversion des BSA.</t>
    </r>
  </si>
  <si>
    <r>
      <rPr>
        <b/>
        <sz val="9"/>
        <color rgb="FF000000"/>
        <rFont val="Wingdings"/>
        <charset val="2"/>
      </rPr>
      <t>l</t>
    </r>
    <r>
      <rPr>
        <b/>
        <sz val="9"/>
        <color rgb="FF000000"/>
        <rFont val="Arial"/>
        <family val="2"/>
      </rPr>
      <t xml:space="preserve"> L'attribution des actions sera définitive une fois effectué ce règlement. </t>
    </r>
  </si>
  <si>
    <r>
      <rPr>
        <b/>
        <sz val="9"/>
        <color rgb="FF000000"/>
        <rFont val="Wingdings"/>
        <charset val="2"/>
      </rPr>
      <t>l</t>
    </r>
    <r>
      <rPr>
        <b/>
        <sz val="9"/>
        <color rgb="FF000000"/>
        <rFont val="Arial"/>
        <family val="2"/>
      </rPr>
      <t xml:space="preserve"> La valeur de chaque BSA correspond à la prime d'émission : elle </t>
    </r>
    <r>
      <rPr>
        <b/>
        <sz val="9"/>
        <color rgb="FFFF0000"/>
        <rFont val="Arial"/>
        <family val="2"/>
      </rPr>
      <t>n'inclut pas</t>
    </r>
    <r>
      <rPr>
        <b/>
        <sz val="9"/>
        <color rgb="FF000000"/>
        <rFont val="Arial"/>
        <family val="2"/>
      </rPr>
      <t xml:space="preserve"> la valeur nominale des actions souscrites.</t>
    </r>
  </si>
  <si>
    <t>Valorisation (chart)</t>
  </si>
  <si>
    <t>Haut</t>
  </si>
  <si>
    <t>Bas</t>
  </si>
  <si>
    <t>Axe X</t>
  </si>
  <si>
    <t>Axe Y</t>
  </si>
  <si>
    <t>Nombre d'actions ordinaires pour</t>
  </si>
  <si>
    <t>BSA AIR - prix unitaire</t>
  </si>
  <si>
    <t>Soit une valeur nominale en actions de</t>
  </si>
  <si>
    <t>Coût total (BSA AIR + valeur nominale)</t>
  </si>
  <si>
    <t>Valeur nominale d'une action</t>
  </si>
  <si>
    <t>Montant total de la levée (Pre-seed + BSA AIR)</t>
  </si>
  <si>
    <t>Soit Pre-seed seul</t>
  </si>
  <si>
    <t>Taux nominal de décôte</t>
  </si>
  <si>
    <t>Soit une valorisation post-money de</t>
  </si>
  <si>
    <t>Contre-valeur</t>
  </si>
  <si>
    <t>Valorisation de référence (pre-seed)</t>
  </si>
  <si>
    <t>Valorisation pre-money</t>
  </si>
  <si>
    <t>Pour une valorisation pre-money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</si>
</sst>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€-1]"/>
    <numFmt numFmtId="165" formatCode="#,##0.00\ &quot;€&quot;"/>
    <numFmt numFmtId="166" formatCode="#,##0\ &quot;€&quot;"/>
    <numFmt numFmtId="167" formatCode="#,##0.0000\ &quot;€&quot;"/>
  </numFmts>
  <fonts count="3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i/>
      <sz val="9"/>
      <color rgb="FF0070C0"/>
      <name val="Arial"/>
      <family val="2"/>
    </font>
    <font>
      <b/>
      <i/>
      <sz val="9"/>
      <color rgb="FF0070C0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C00000"/>
      <name val="Arial"/>
      <family val="2"/>
    </font>
    <font>
      <sz val="9"/>
      <color theme="9" tint="-0.499984740745262"/>
      <name val="Arial"/>
      <family val="2"/>
    </font>
    <font>
      <b/>
      <sz val="9"/>
      <color rgb="FF000000"/>
      <name val="Wingdings"/>
      <charset val="2"/>
    </font>
    <font>
      <b/>
      <i/>
      <sz val="11"/>
      <color rgb="FF0070C0"/>
      <name val="Arial"/>
      <family val="2"/>
    </font>
    <font>
      <b/>
      <i/>
      <sz val="11"/>
      <color rgb="FFC00000"/>
      <name val="Arial"/>
      <family val="2"/>
    </font>
    <font>
      <b/>
      <i/>
      <sz val="11"/>
      <color theme="9" tint="-0.499984740745262"/>
      <name val="Arial"/>
      <family val="2"/>
    </font>
    <font>
      <b/>
      <sz val="9"/>
      <color theme="0"/>
      <name val="Arial"/>
      <family val="2"/>
    </font>
    <font>
      <b/>
      <sz val="9"/>
      <color rgb="FFC00000"/>
      <name val="Arial"/>
      <family val="2"/>
    </font>
    <font>
      <b/>
      <sz val="9"/>
      <color theme="9" tint="-0.49998474074526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theme="9" tint="-0.499984740745262"/>
      <name val="Arial"/>
      <family val="2"/>
    </font>
    <font>
      <i/>
      <sz val="11"/>
      <color rgb="FF0070C0"/>
      <name val="Arial"/>
      <family val="2"/>
    </font>
    <font>
      <i/>
      <sz val="11"/>
      <color rgb="FFC00000"/>
      <name val="Arial"/>
      <family val="2"/>
    </font>
    <font>
      <i/>
      <sz val="11"/>
      <color theme="9" tint="-0.499984740745262"/>
      <name val="Arial"/>
      <family val="2"/>
    </font>
    <font>
      <b/>
      <i/>
      <sz val="11"/>
      <color rgb="FFFF0000"/>
      <name val="Arial"/>
      <family val="2"/>
    </font>
    <font>
      <b/>
      <sz val="11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0000"/>
        <bgColor rgb="FF0B5394"/>
      </patternFill>
    </fill>
    <fill>
      <patternFill patternType="solid">
        <fgColor rgb="FF00B050"/>
        <bgColor rgb="FF0B539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rgb="FF056980"/>
      </patternFill>
    </fill>
    <fill>
      <patternFill patternType="solid">
        <fgColor theme="8" tint="-0.249977111117893"/>
        <bgColor rgb="FF056980"/>
      </patternFill>
    </fill>
    <fill>
      <patternFill patternType="solid">
        <fgColor theme="0" tint="-0.499984740745262"/>
        <bgColor rgb="FF056980"/>
      </patternFill>
    </fill>
    <fill>
      <patternFill patternType="solid">
        <fgColor theme="8" tint="0.39997558519241921"/>
        <bgColor rgb="FFF2F2F2"/>
      </patternFill>
    </fill>
    <fill>
      <patternFill patternType="solid">
        <fgColor rgb="FF00B0F0"/>
        <bgColor rgb="FF05698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056980"/>
      </patternFill>
    </fill>
    <fill>
      <patternFill patternType="solid">
        <fgColor rgb="FFFFC000"/>
        <bgColor rgb="FF0B539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0" tint="-0.249977111117893"/>
        <bgColor rgb="FF0569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056980"/>
      </patternFill>
    </fill>
    <fill>
      <patternFill patternType="solid">
        <fgColor theme="7" tint="0.39997558519241921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9" tint="0.79998168889431442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3" fontId="0" fillId="0" borderId="1" xfId="0" applyNumberFormat="1" applyFont="1" applyBorder="1" applyAlignment="1"/>
    <xf numFmtId="4" fontId="0" fillId="0" borderId="1" xfId="0" applyNumberFormat="1" applyFont="1" applyBorder="1" applyAlignment="1"/>
    <xf numFmtId="0" fontId="2" fillId="0" borderId="0" xfId="0" applyFont="1" applyAlignment="1" applyProtection="1"/>
    <xf numFmtId="0" fontId="3" fillId="0" borderId="0" xfId="0" applyFont="1" applyProtection="1"/>
    <xf numFmtId="0" fontId="1" fillId="0" borderId="0" xfId="0" applyFont="1" applyAlignment="1" applyProtection="1"/>
    <xf numFmtId="0" fontId="4" fillId="0" borderId="0" xfId="0" applyFont="1" applyAlignment="1" applyProtection="1"/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3" fontId="9" fillId="5" borderId="1" xfId="0" applyNumberFormat="1" applyFont="1" applyFill="1" applyBorder="1" applyAlignment="1" applyProtection="1">
      <alignment horizontal="right" vertical="center"/>
    </xf>
    <xf numFmtId="9" fontId="9" fillId="5" borderId="1" xfId="0" applyNumberFormat="1" applyFont="1" applyFill="1" applyBorder="1" applyAlignment="1" applyProtection="1">
      <alignment horizontal="right" vertical="center"/>
    </xf>
    <xf numFmtId="10" fontId="3" fillId="4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3" fontId="4" fillId="6" borderId="1" xfId="0" applyNumberFormat="1" applyFont="1" applyFill="1" applyBorder="1" applyAlignment="1" applyProtection="1">
      <alignment horizontal="center" vertical="center"/>
    </xf>
    <xf numFmtId="165" fontId="4" fillId="6" borderId="1" xfId="0" applyNumberFormat="1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3" fontId="4" fillId="16" borderId="1" xfId="0" applyNumberFormat="1" applyFont="1" applyFill="1" applyBorder="1" applyAlignment="1" applyProtection="1">
      <alignment horizontal="center" vertical="center"/>
    </xf>
    <xf numFmtId="10" fontId="4" fillId="16" borderId="1" xfId="0" applyNumberFormat="1" applyFont="1" applyFill="1" applyBorder="1" applyAlignment="1" applyProtection="1">
      <alignment horizontal="center" vertical="center"/>
    </xf>
    <xf numFmtId="3" fontId="4" fillId="11" borderId="1" xfId="0" applyNumberFormat="1" applyFont="1" applyFill="1" applyBorder="1" applyAlignment="1" applyProtection="1">
      <alignment horizontal="center" vertical="center"/>
    </xf>
    <xf numFmtId="10" fontId="4" fillId="11" borderId="1" xfId="0" applyNumberFormat="1" applyFont="1" applyFill="1" applyBorder="1" applyAlignment="1" applyProtection="1">
      <alignment horizontal="center" vertical="center"/>
    </xf>
    <xf numFmtId="3" fontId="9" fillId="4" borderId="1" xfId="0" applyNumberFormat="1" applyFont="1" applyFill="1" applyBorder="1" applyAlignment="1" applyProtection="1">
      <alignment horizontal="center" vertical="center"/>
    </xf>
    <xf numFmtId="10" fontId="9" fillId="4" borderId="1" xfId="0" applyNumberFormat="1" applyFont="1" applyFill="1" applyBorder="1" applyAlignment="1" applyProtection="1">
      <alignment horizontal="center" vertical="center"/>
    </xf>
    <xf numFmtId="3" fontId="9" fillId="4" borderId="1" xfId="0" applyNumberFormat="1" applyFont="1" applyFill="1" applyBorder="1" applyAlignment="1" applyProtection="1">
      <alignment horizontal="center"/>
    </xf>
    <xf numFmtId="10" fontId="9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left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/>
    <xf numFmtId="0" fontId="5" fillId="10" borderId="1" xfId="0" applyFont="1" applyFill="1" applyBorder="1" applyAlignment="1" applyProtection="1">
      <alignment horizontal="center"/>
    </xf>
    <xf numFmtId="0" fontId="6" fillId="18" borderId="2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6" fillId="18" borderId="3" xfId="0" applyFont="1" applyFill="1" applyBorder="1" applyAlignment="1" applyProtection="1">
      <alignment horizontal="left" vertical="center"/>
    </xf>
    <xf numFmtId="1" fontId="6" fillId="18" borderId="1" xfId="0" applyNumberFormat="1" applyFont="1" applyFill="1" applyBorder="1" applyAlignment="1" applyProtection="1">
      <alignment horizontal="center" vertical="center"/>
    </xf>
    <xf numFmtId="10" fontId="6" fillId="18" borderId="1" xfId="0" applyNumberFormat="1" applyFont="1" applyFill="1" applyBorder="1" applyAlignment="1" applyProtection="1">
      <alignment horizontal="center" vertical="center"/>
    </xf>
    <xf numFmtId="3" fontId="12" fillId="20" borderId="1" xfId="0" applyNumberFormat="1" applyFont="1" applyFill="1" applyBorder="1" applyAlignment="1" applyProtection="1">
      <alignment horizontal="center" vertical="center"/>
    </xf>
    <xf numFmtId="165" fontId="12" fillId="2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/>
    <xf numFmtId="0" fontId="13" fillId="0" borderId="0" xfId="0" applyFont="1" applyAlignment="1" applyProtection="1"/>
    <xf numFmtId="3" fontId="13" fillId="21" borderId="1" xfId="0" applyNumberFormat="1" applyFont="1" applyFill="1" applyBorder="1" applyAlignment="1" applyProtection="1">
      <alignment horizontal="center" vertical="center"/>
    </xf>
    <xf numFmtId="165" fontId="13" fillId="21" borderId="1" xfId="0" applyNumberFormat="1" applyFont="1" applyFill="1" applyBorder="1" applyAlignment="1" applyProtection="1">
      <alignment horizontal="center" vertical="center"/>
    </xf>
    <xf numFmtId="165" fontId="16" fillId="23" borderId="13" xfId="0" applyNumberFormat="1" applyFont="1" applyFill="1" applyBorder="1" applyAlignment="1" applyProtection="1">
      <alignment horizontal="center" vertical="center"/>
    </xf>
    <xf numFmtId="165" fontId="17" fillId="24" borderId="14" xfId="0" applyNumberFormat="1" applyFont="1" applyFill="1" applyBorder="1" applyAlignment="1" applyProtection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3" fontId="0" fillId="26" borderId="1" xfId="0" applyNumberFormat="1" applyFont="1" applyFill="1" applyBorder="1" applyAlignment="1"/>
    <xf numFmtId="0" fontId="18" fillId="27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/>
    <xf numFmtId="0" fontId="18" fillId="27" borderId="2" xfId="0" applyFont="1" applyFill="1" applyBorder="1" applyAlignment="1">
      <alignment vertical="center"/>
    </xf>
    <xf numFmtId="3" fontId="3" fillId="28" borderId="1" xfId="0" applyNumberFormat="1" applyFont="1" applyFill="1" applyBorder="1" applyAlignment="1" applyProtection="1">
      <alignment horizontal="center" vertical="center"/>
    </xf>
    <xf numFmtId="10" fontId="4" fillId="28" borderId="1" xfId="0" applyNumberFormat="1" applyFont="1" applyFill="1" applyBorder="1" applyAlignment="1" applyProtection="1">
      <alignment horizontal="center" vertical="center"/>
    </xf>
    <xf numFmtId="0" fontId="9" fillId="14" borderId="2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 applyProtection="1">
      <alignment vertical="center"/>
    </xf>
    <xf numFmtId="0" fontId="3" fillId="6" borderId="18" xfId="0" applyFont="1" applyFill="1" applyBorder="1" applyAlignment="1" applyProtection="1"/>
    <xf numFmtId="0" fontId="21" fillId="6" borderId="1" xfId="0" applyFont="1" applyFill="1" applyBorder="1" applyAlignment="1" applyProtection="1">
      <alignment horizontal="right" vertical="center"/>
    </xf>
    <xf numFmtId="1" fontId="28" fillId="20" borderId="1" xfId="0" applyNumberFormat="1" applyFont="1" applyFill="1" applyBorder="1" applyAlignment="1" applyProtection="1">
      <alignment horizontal="center" vertical="center"/>
    </xf>
    <xf numFmtId="1" fontId="29" fillId="21" borderId="1" xfId="0" applyNumberFormat="1" applyFont="1" applyFill="1" applyBorder="1" applyAlignment="1" applyProtection="1">
      <alignment horizontal="center" vertical="center"/>
    </xf>
    <xf numFmtId="165" fontId="28" fillId="20" borderId="9" xfId="0" applyNumberFormat="1" applyFont="1" applyFill="1" applyBorder="1" applyAlignment="1" applyProtection="1">
      <alignment horizontal="center" vertical="center"/>
    </xf>
    <xf numFmtId="165" fontId="29" fillId="21" borderId="9" xfId="0" applyNumberFormat="1" applyFont="1" applyFill="1" applyBorder="1" applyAlignment="1" applyProtection="1">
      <alignment horizontal="center" vertical="center"/>
    </xf>
    <xf numFmtId="1" fontId="27" fillId="18" borderId="1" xfId="0" applyNumberFormat="1" applyFont="1" applyFill="1" applyBorder="1" applyAlignment="1" applyProtection="1">
      <alignment horizontal="center" vertical="center"/>
    </xf>
    <xf numFmtId="0" fontId="27" fillId="4" borderId="2" xfId="0" applyFont="1" applyFill="1" applyBorder="1" applyAlignment="1" applyProtection="1">
      <alignment horizontal="right" vertical="center"/>
    </xf>
    <xf numFmtId="0" fontId="30" fillId="17" borderId="15" xfId="0" applyFont="1" applyFill="1" applyBorder="1" applyAlignment="1" applyProtection="1">
      <alignment horizontal="center" vertical="center"/>
      <protection locked="0"/>
    </xf>
    <xf numFmtId="164" fontId="15" fillId="5" borderId="1" xfId="0" applyNumberFormat="1" applyFont="1" applyFill="1" applyBorder="1" applyAlignment="1" applyProtection="1">
      <alignment horizontal="right" vertical="center"/>
    </xf>
    <xf numFmtId="166" fontId="11" fillId="7" borderId="15" xfId="0" applyNumberFormat="1" applyFont="1" applyFill="1" applyBorder="1" applyAlignment="1" applyProtection="1">
      <alignment horizontal="right" vertical="center"/>
      <protection locked="0"/>
    </xf>
    <xf numFmtId="166" fontId="22" fillId="6" borderId="19" xfId="0" applyNumberFormat="1" applyFont="1" applyFill="1" applyBorder="1" applyAlignment="1" applyProtection="1">
      <alignment vertical="center"/>
    </xf>
    <xf numFmtId="166" fontId="11" fillId="7" borderId="15" xfId="0" applyNumberFormat="1" applyFont="1" applyFill="1" applyBorder="1" applyAlignment="1" applyProtection="1">
      <alignment horizontal="right"/>
      <protection locked="0"/>
    </xf>
    <xf numFmtId="166" fontId="9" fillId="5" borderId="1" xfId="0" applyNumberFormat="1" applyFont="1" applyFill="1" applyBorder="1" applyAlignment="1" applyProtection="1">
      <alignment horizontal="right" vertical="center"/>
    </xf>
    <xf numFmtId="165" fontId="9" fillId="5" borderId="1" xfId="0" applyNumberFormat="1" applyFont="1" applyFill="1" applyBorder="1" applyAlignment="1" applyProtection="1">
      <alignment horizontal="right" vertical="center"/>
    </xf>
    <xf numFmtId="167" fontId="4" fillId="6" borderId="1" xfId="0" applyNumberFormat="1" applyFont="1" applyFill="1" applyBorder="1" applyAlignment="1" applyProtection="1">
      <alignment horizontal="center" vertical="center"/>
    </xf>
    <xf numFmtId="166" fontId="25" fillId="20" borderId="1" xfId="0" applyNumberFormat="1" applyFont="1" applyFill="1" applyBorder="1" applyAlignment="1" applyProtection="1">
      <alignment horizontal="center" vertical="center"/>
    </xf>
    <xf numFmtId="166" fontId="26" fillId="21" borderId="1" xfId="0" applyNumberFormat="1" applyFont="1" applyFill="1" applyBorder="1" applyAlignment="1" applyProtection="1">
      <alignment horizontal="center" vertical="center"/>
    </xf>
    <xf numFmtId="167" fontId="12" fillId="20" borderId="1" xfId="0" applyNumberFormat="1" applyFont="1" applyFill="1" applyBorder="1" applyAlignment="1" applyProtection="1">
      <alignment horizontal="center" vertical="center"/>
    </xf>
    <xf numFmtId="167" fontId="13" fillId="21" borderId="1" xfId="0" applyNumberFormat="1" applyFont="1" applyFill="1" applyBorder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left" vertical="center"/>
    </xf>
    <xf numFmtId="166" fontId="24" fillId="29" borderId="1" xfId="0" applyNumberFormat="1" applyFont="1" applyFill="1" applyBorder="1" applyAlignment="1" applyProtection="1">
      <alignment horizontal="center" vertical="center"/>
    </xf>
    <xf numFmtId="167" fontId="23" fillId="18" borderId="4" xfId="0" applyNumberFormat="1" applyFont="1" applyFill="1" applyBorder="1" applyAlignment="1" applyProtection="1">
      <alignment horizontal="center" vertical="center"/>
    </xf>
    <xf numFmtId="165" fontId="23" fillId="18" borderId="1" xfId="0" applyNumberFormat="1" applyFont="1" applyFill="1" applyBorder="1" applyAlignment="1" applyProtection="1">
      <alignment horizontal="center" vertical="center"/>
    </xf>
    <xf numFmtId="3" fontId="23" fillId="18" borderId="1" xfId="0" applyNumberFormat="1" applyFont="1" applyFill="1" applyBorder="1" applyAlignment="1" applyProtection="1">
      <alignment horizontal="center" vertical="center"/>
    </xf>
    <xf numFmtId="165" fontId="27" fillId="18" borderId="9" xfId="0" applyNumberFormat="1" applyFont="1" applyFill="1" applyBorder="1" applyAlignment="1" applyProtection="1">
      <alignment horizontal="center" vertical="center"/>
    </xf>
    <xf numFmtId="165" fontId="15" fillId="18" borderId="13" xfId="0" applyNumberFormat="1" applyFont="1" applyFill="1" applyBorder="1" applyAlignment="1" applyProtection="1">
      <alignment horizontal="center" vertical="center"/>
    </xf>
    <xf numFmtId="0" fontId="12" fillId="20" borderId="2" xfId="0" applyFont="1" applyFill="1" applyBorder="1" applyAlignment="1" applyProtection="1">
      <alignment horizontal="left" vertical="center"/>
    </xf>
    <xf numFmtId="166" fontId="19" fillId="30" borderId="1" xfId="0" applyNumberFormat="1" applyFont="1" applyFill="1" applyBorder="1" applyAlignment="1" applyProtection="1">
      <alignment horizontal="right" vertical="center"/>
    </xf>
    <xf numFmtId="0" fontId="13" fillId="21" borderId="2" xfId="0" applyFont="1" applyFill="1" applyBorder="1" applyAlignment="1" applyProtection="1">
      <alignment horizontal="left" vertical="center"/>
    </xf>
    <xf numFmtId="166" fontId="20" fillId="31" borderId="1" xfId="0" applyNumberFormat="1" applyFont="1" applyFill="1" applyBorder="1" applyAlignment="1" applyProtection="1">
      <alignment horizontal="right" vertical="center"/>
    </xf>
    <xf numFmtId="10" fontId="4" fillId="0" borderId="0" xfId="0" applyNumberFormat="1" applyFont="1" applyAlignment="1" applyProtection="1"/>
    <xf numFmtId="0" fontId="3" fillId="6" borderId="1" xfId="0" applyFont="1" applyFill="1" applyBorder="1" applyAlignment="1" applyProtection="1">
      <alignment horizontal="right"/>
    </xf>
    <xf numFmtId="166" fontId="9" fillId="6" borderId="1" xfId="0" applyNumberFormat="1" applyFont="1" applyFill="1" applyBorder="1" applyAlignment="1" applyProtection="1"/>
    <xf numFmtId="165" fontId="6" fillId="18" borderId="1" xfId="0" applyNumberFormat="1" applyFont="1" applyFill="1" applyBorder="1" applyAlignment="1" applyProtection="1">
      <alignment horizontal="center" vertical="center"/>
    </xf>
    <xf numFmtId="166" fontId="31" fillId="6" borderId="1" xfId="0" applyNumberFormat="1" applyFont="1" applyFill="1" applyBorder="1" applyAlignment="1" applyProtection="1">
      <alignment horizontal="center" vertical="center"/>
    </xf>
    <xf numFmtId="10" fontId="4" fillId="6" borderId="2" xfId="0" applyNumberFormat="1" applyFont="1" applyFill="1" applyBorder="1" applyAlignment="1" applyProtection="1">
      <alignment horizontal="left" vertical="center"/>
    </xf>
    <xf numFmtId="10" fontId="4" fillId="6" borderId="5" xfId="0" applyNumberFormat="1" applyFont="1" applyFill="1" applyBorder="1" applyAlignment="1" applyProtection="1">
      <alignment horizontal="left" vertical="center"/>
    </xf>
    <xf numFmtId="10" fontId="4" fillId="6" borderId="3" xfId="0" applyNumberFormat="1" applyFont="1" applyFill="1" applyBorder="1" applyAlignment="1" applyProtection="1">
      <alignment horizontal="left" vertical="center"/>
    </xf>
    <xf numFmtId="0" fontId="9" fillId="6" borderId="2" xfId="0" applyFont="1" applyFill="1" applyBorder="1" applyAlignment="1" applyProtection="1">
      <alignment horizontal="left"/>
    </xf>
    <xf numFmtId="0" fontId="9" fillId="6" borderId="5" xfId="0" applyFont="1" applyFill="1" applyBorder="1" applyAlignment="1" applyProtection="1">
      <alignment horizontal="left"/>
    </xf>
    <xf numFmtId="0" fontId="9" fillId="6" borderId="3" xfId="0" applyFont="1" applyFill="1" applyBorder="1" applyAlignment="1" applyProtection="1">
      <alignment horizontal="left"/>
    </xf>
    <xf numFmtId="0" fontId="9" fillId="14" borderId="1" xfId="0" applyFont="1" applyFill="1" applyBorder="1" applyAlignment="1" applyProtection="1">
      <alignment horizontal="center" vertical="center"/>
    </xf>
    <xf numFmtId="0" fontId="9" fillId="14" borderId="9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3" xfId="0" applyFont="1" applyFill="1" applyBorder="1" applyAlignment="1" applyProtection="1">
      <alignment horizontal="center" vertical="center"/>
    </xf>
    <xf numFmtId="0" fontId="3" fillId="16" borderId="2" xfId="0" applyFont="1" applyFill="1" applyBorder="1" applyAlignment="1" applyProtection="1">
      <alignment horizontal="left"/>
    </xf>
    <xf numFmtId="0" fontId="3" fillId="16" borderId="5" xfId="0" applyFont="1" applyFill="1" applyBorder="1" applyAlignment="1" applyProtection="1">
      <alignment horizontal="left"/>
    </xf>
    <xf numFmtId="0" fontId="3" fillId="16" borderId="3" xfId="0" applyFont="1" applyFill="1" applyBorder="1" applyAlignment="1" applyProtection="1">
      <alignment horizontal="left"/>
    </xf>
    <xf numFmtId="0" fontId="3" fillId="11" borderId="2" xfId="0" applyFont="1" applyFill="1" applyBorder="1" applyAlignment="1" applyProtection="1">
      <alignment horizontal="left"/>
    </xf>
    <xf numFmtId="0" fontId="3" fillId="11" borderId="6" xfId="0" applyFont="1" applyFill="1" applyBorder="1" applyAlignment="1" applyProtection="1">
      <alignment horizontal="left"/>
    </xf>
    <xf numFmtId="0" fontId="3" fillId="11" borderId="3" xfId="0" applyFont="1" applyFill="1" applyBorder="1" applyAlignment="1" applyProtection="1">
      <alignment horizontal="left"/>
    </xf>
    <xf numFmtId="0" fontId="3" fillId="28" borderId="2" xfId="0" applyFont="1" applyFill="1" applyBorder="1" applyAlignment="1" applyProtection="1">
      <alignment horizontal="left"/>
    </xf>
    <xf numFmtId="0" fontId="3" fillId="28" borderId="5" xfId="0" applyFont="1" applyFill="1" applyBorder="1" applyAlignment="1" applyProtection="1">
      <alignment horizontal="left"/>
    </xf>
    <xf numFmtId="0" fontId="3" fillId="28" borderId="3" xfId="0" applyFont="1" applyFill="1" applyBorder="1" applyAlignment="1" applyProtection="1">
      <alignment horizontal="left"/>
    </xf>
    <xf numFmtId="0" fontId="9" fillId="4" borderId="2" xfId="0" applyFont="1" applyFill="1" applyBorder="1" applyAlignment="1" applyProtection="1">
      <alignment horizontal="left"/>
    </xf>
    <xf numFmtId="0" fontId="9" fillId="4" borderId="5" xfId="0" applyFont="1" applyFill="1" applyBorder="1" applyAlignment="1" applyProtection="1">
      <alignment horizontal="left"/>
    </xf>
    <xf numFmtId="0" fontId="9" fillId="4" borderId="3" xfId="0" applyFont="1" applyFill="1" applyBorder="1" applyAlignment="1" applyProtection="1">
      <alignment horizontal="left"/>
    </xf>
    <xf numFmtId="0" fontId="3" fillId="6" borderId="2" xfId="0" applyFont="1" applyFill="1" applyBorder="1" applyAlignment="1" applyProtection="1">
      <alignment horizontal="left" vertical="center"/>
    </xf>
    <xf numFmtId="0" fontId="3" fillId="6" borderId="5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 vertical="center"/>
    </xf>
    <xf numFmtId="0" fontId="15" fillId="22" borderId="10" xfId="0" applyFont="1" applyFill="1" applyBorder="1" applyAlignment="1" applyProtection="1">
      <alignment horizontal="right" vertical="center"/>
    </xf>
    <xf numFmtId="0" fontId="15" fillId="22" borderId="11" xfId="0" applyFont="1" applyFill="1" applyBorder="1" applyAlignment="1" applyProtection="1">
      <alignment horizontal="right" vertical="center"/>
    </xf>
    <xf numFmtId="0" fontId="15" fillId="22" borderId="12" xfId="0" applyFont="1" applyFill="1" applyBorder="1" applyAlignment="1" applyProtection="1">
      <alignment horizontal="right" vertical="center"/>
    </xf>
    <xf numFmtId="0" fontId="9" fillId="15" borderId="2" xfId="0" applyFont="1" applyFill="1" applyBorder="1" applyAlignment="1" applyProtection="1">
      <alignment horizontal="center" vertical="center"/>
    </xf>
    <xf numFmtId="0" fontId="9" fillId="15" borderId="5" xfId="0" applyFont="1" applyFill="1" applyBorder="1" applyAlignment="1" applyProtection="1">
      <alignment horizontal="center" vertical="center"/>
    </xf>
    <xf numFmtId="0" fontId="9" fillId="15" borderId="3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27" fillId="4" borderId="7" xfId="0" applyFont="1" applyFill="1" applyBorder="1" applyAlignment="1" applyProtection="1">
      <alignment horizontal="right" vertical="center"/>
    </xf>
    <xf numFmtId="0" fontId="27" fillId="4" borderId="0" xfId="0" applyFont="1" applyFill="1" applyBorder="1" applyAlignment="1" applyProtection="1">
      <alignment horizontal="right" vertical="center"/>
    </xf>
    <xf numFmtId="0" fontId="27" fillId="4" borderId="8" xfId="0" applyFont="1" applyFill="1" applyBorder="1" applyAlignment="1" applyProtection="1">
      <alignment horizontal="right" vertical="center"/>
    </xf>
    <xf numFmtId="0" fontId="9" fillId="12" borderId="2" xfId="0" applyFont="1" applyFill="1" applyBorder="1" applyAlignment="1" applyProtection="1">
      <alignment horizontal="center" vertical="center"/>
    </xf>
    <xf numFmtId="0" fontId="9" fillId="12" borderId="5" xfId="0" applyFont="1" applyFill="1" applyBorder="1" applyAlignment="1" applyProtection="1">
      <alignment horizontal="center" vertical="center"/>
    </xf>
    <xf numFmtId="0" fontId="9" fillId="12" borderId="3" xfId="0" applyFont="1" applyFill="1" applyBorder="1" applyAlignment="1" applyProtection="1">
      <alignment horizontal="center" vertical="center"/>
    </xf>
    <xf numFmtId="0" fontId="9" fillId="12" borderId="1" xfId="0" applyFont="1" applyFill="1" applyBorder="1" applyAlignment="1" applyProtection="1">
      <alignment horizontal="center" vertical="center"/>
    </xf>
    <xf numFmtId="0" fontId="3" fillId="13" borderId="1" xfId="0" applyFont="1" applyFill="1" applyBorder="1" applyAlignment="1" applyProtection="1">
      <alignment vertical="center"/>
    </xf>
    <xf numFmtId="0" fontId="10" fillId="19" borderId="0" xfId="0" applyFont="1" applyFill="1" applyAlignment="1" applyProtection="1">
      <alignment horizontal="left" vertical="center" wrapText="1"/>
    </xf>
    <xf numFmtId="0" fontId="11" fillId="7" borderId="16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 wrapText="1"/>
    </xf>
    <xf numFmtId="0" fontId="10" fillId="19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33CC33"/>
      <color rgb="FFFF9900"/>
      <color rgb="FFFF9933"/>
      <color rgb="FFF2B800"/>
      <color rgb="FFF2F2F2"/>
      <color rgb="FFFFF2CC"/>
      <color rgb="FF70AD47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78203896946053E-2"/>
          <c:y val="9.469212725576906E-2"/>
          <c:w val="0.88116039066545249"/>
          <c:h val="0.77359363906766954"/>
        </c:manualLayout>
      </c:layout>
      <c:lineChart>
        <c:grouping val="standard"/>
        <c:varyColors val="0"/>
        <c:ser>
          <c:idx val="2"/>
          <c:order val="0"/>
          <c:tx>
            <c:v>Pre-seed</c:v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Data!$B$2:$B$50</c:f>
              <c:numCache>
                <c:formatCode>#,##0</c:formatCode>
                <c:ptCount val="49"/>
                <c:pt idx="0">
                  <c:v>1200</c:v>
                </c:pt>
                <c:pt idx="1">
                  <c:v>1300</c:v>
                </c:pt>
                <c:pt idx="2">
                  <c:v>1400</c:v>
                </c:pt>
                <c:pt idx="3">
                  <c:v>1500</c:v>
                </c:pt>
                <c:pt idx="4">
                  <c:v>1600</c:v>
                </c:pt>
                <c:pt idx="5">
                  <c:v>1700</c:v>
                </c:pt>
                <c:pt idx="6">
                  <c:v>1800</c:v>
                </c:pt>
                <c:pt idx="7">
                  <c:v>1900</c:v>
                </c:pt>
                <c:pt idx="8">
                  <c:v>2000</c:v>
                </c:pt>
                <c:pt idx="9">
                  <c:v>2100</c:v>
                </c:pt>
                <c:pt idx="10">
                  <c:v>2200</c:v>
                </c:pt>
                <c:pt idx="11">
                  <c:v>2300</c:v>
                </c:pt>
                <c:pt idx="12">
                  <c:v>2400</c:v>
                </c:pt>
                <c:pt idx="13">
                  <c:v>2500</c:v>
                </c:pt>
                <c:pt idx="14">
                  <c:v>2600</c:v>
                </c:pt>
                <c:pt idx="15">
                  <c:v>2700</c:v>
                </c:pt>
                <c:pt idx="16">
                  <c:v>2800</c:v>
                </c:pt>
                <c:pt idx="17">
                  <c:v>2900</c:v>
                </c:pt>
                <c:pt idx="18">
                  <c:v>3000</c:v>
                </c:pt>
                <c:pt idx="19">
                  <c:v>3100</c:v>
                </c:pt>
                <c:pt idx="20">
                  <c:v>3200</c:v>
                </c:pt>
                <c:pt idx="21">
                  <c:v>3300</c:v>
                </c:pt>
                <c:pt idx="22">
                  <c:v>3400</c:v>
                </c:pt>
                <c:pt idx="23">
                  <c:v>3500</c:v>
                </c:pt>
                <c:pt idx="24">
                  <c:v>3600</c:v>
                </c:pt>
                <c:pt idx="25">
                  <c:v>3700</c:v>
                </c:pt>
                <c:pt idx="26">
                  <c:v>3800</c:v>
                </c:pt>
                <c:pt idx="27">
                  <c:v>3900</c:v>
                </c:pt>
                <c:pt idx="28">
                  <c:v>4000</c:v>
                </c:pt>
                <c:pt idx="29">
                  <c:v>4100</c:v>
                </c:pt>
                <c:pt idx="30">
                  <c:v>4200</c:v>
                </c:pt>
                <c:pt idx="31">
                  <c:v>4300</c:v>
                </c:pt>
                <c:pt idx="32">
                  <c:v>4400</c:v>
                </c:pt>
                <c:pt idx="33">
                  <c:v>4500</c:v>
                </c:pt>
                <c:pt idx="34">
                  <c:v>4600</c:v>
                </c:pt>
                <c:pt idx="35">
                  <c:v>4700</c:v>
                </c:pt>
                <c:pt idx="36">
                  <c:v>4800</c:v>
                </c:pt>
                <c:pt idx="37">
                  <c:v>4900</c:v>
                </c:pt>
                <c:pt idx="38">
                  <c:v>5000</c:v>
                </c:pt>
                <c:pt idx="39">
                  <c:v>5100</c:v>
                </c:pt>
                <c:pt idx="40">
                  <c:v>5200</c:v>
                </c:pt>
                <c:pt idx="41">
                  <c:v>5300</c:v>
                </c:pt>
                <c:pt idx="42">
                  <c:v>5400</c:v>
                </c:pt>
                <c:pt idx="43">
                  <c:v>5500</c:v>
                </c:pt>
                <c:pt idx="44">
                  <c:v>5600</c:v>
                </c:pt>
                <c:pt idx="45">
                  <c:v>5700</c:v>
                </c:pt>
                <c:pt idx="46">
                  <c:v>5800</c:v>
                </c:pt>
                <c:pt idx="47">
                  <c:v>5900</c:v>
                </c:pt>
                <c:pt idx="48">
                  <c:v>6000</c:v>
                </c:pt>
              </c:numCache>
            </c:numRef>
          </c:cat>
          <c:val>
            <c:numRef>
              <c:f>Data!$C$2:$C$50</c:f>
              <c:numCache>
                <c:formatCode>#,##0.00</c:formatCode>
                <c:ptCount val="49"/>
                <c:pt idx="0">
                  <c:v>20.511067430134176</c:v>
                </c:pt>
                <c:pt idx="1">
                  <c:v>22.220323049312025</c:v>
                </c:pt>
                <c:pt idx="2">
                  <c:v>23.929578668489874</c:v>
                </c:pt>
                <c:pt idx="3">
                  <c:v>25.63883428766772</c:v>
                </c:pt>
                <c:pt idx="4">
                  <c:v>27.348089906845569</c:v>
                </c:pt>
                <c:pt idx="5">
                  <c:v>29.057345526023418</c:v>
                </c:pt>
                <c:pt idx="6">
                  <c:v>30.766601145201264</c:v>
                </c:pt>
                <c:pt idx="7">
                  <c:v>32.47585676437911</c:v>
                </c:pt>
                <c:pt idx="8">
                  <c:v>34.185112383556962</c:v>
                </c:pt>
                <c:pt idx="9">
                  <c:v>35.894368002734808</c:v>
                </c:pt>
                <c:pt idx="10">
                  <c:v>37.603623621912654</c:v>
                </c:pt>
                <c:pt idx="11">
                  <c:v>39.312879241090506</c:v>
                </c:pt>
                <c:pt idx="12">
                  <c:v>41.022134860268352</c:v>
                </c:pt>
                <c:pt idx="13">
                  <c:v>42.731390479446205</c:v>
                </c:pt>
                <c:pt idx="14">
                  <c:v>44.44064609862405</c:v>
                </c:pt>
                <c:pt idx="15">
                  <c:v>46.149901717801896</c:v>
                </c:pt>
                <c:pt idx="16">
                  <c:v>47.859157336979749</c:v>
                </c:pt>
                <c:pt idx="17">
                  <c:v>49.568412956157594</c:v>
                </c:pt>
                <c:pt idx="18">
                  <c:v>51.27766857533544</c:v>
                </c:pt>
                <c:pt idx="19">
                  <c:v>52.986924194513293</c:v>
                </c:pt>
                <c:pt idx="20">
                  <c:v>54.696179813691138</c:v>
                </c:pt>
                <c:pt idx="21">
                  <c:v>56.405435432868984</c:v>
                </c:pt>
                <c:pt idx="22">
                  <c:v>58.114691052046837</c:v>
                </c:pt>
                <c:pt idx="23">
                  <c:v>59.823946671224682</c:v>
                </c:pt>
                <c:pt idx="24">
                  <c:v>61.533202290402528</c:v>
                </c:pt>
                <c:pt idx="25">
                  <c:v>63.242457909580381</c:v>
                </c:pt>
                <c:pt idx="26">
                  <c:v>64.951713528758219</c:v>
                </c:pt>
                <c:pt idx="27">
                  <c:v>66.660969147936072</c:v>
                </c:pt>
                <c:pt idx="28">
                  <c:v>68.370224767113925</c:v>
                </c:pt>
                <c:pt idx="29">
                  <c:v>70.079480386291763</c:v>
                </c:pt>
                <c:pt idx="30">
                  <c:v>71.788736005469616</c:v>
                </c:pt>
                <c:pt idx="31">
                  <c:v>73.497991624647469</c:v>
                </c:pt>
                <c:pt idx="32">
                  <c:v>75.207247243825307</c:v>
                </c:pt>
                <c:pt idx="33">
                  <c:v>76.91650286300316</c:v>
                </c:pt>
                <c:pt idx="34">
                  <c:v>78.625758482181013</c:v>
                </c:pt>
                <c:pt idx="35">
                  <c:v>80.335014101358851</c:v>
                </c:pt>
                <c:pt idx="36">
                  <c:v>82.044269720536704</c:v>
                </c:pt>
                <c:pt idx="37">
                  <c:v>83.753525339714557</c:v>
                </c:pt>
                <c:pt idx="38">
                  <c:v>85.462780958892409</c:v>
                </c:pt>
                <c:pt idx="39">
                  <c:v>87.172036578070248</c:v>
                </c:pt>
                <c:pt idx="40">
                  <c:v>88.881292197248101</c:v>
                </c:pt>
                <c:pt idx="41">
                  <c:v>90.590547816425953</c:v>
                </c:pt>
                <c:pt idx="42">
                  <c:v>92.299803435603792</c:v>
                </c:pt>
                <c:pt idx="43">
                  <c:v>94.009059054781645</c:v>
                </c:pt>
                <c:pt idx="44">
                  <c:v>95.718314673959497</c:v>
                </c:pt>
                <c:pt idx="45">
                  <c:v>97.427570293137336</c:v>
                </c:pt>
                <c:pt idx="46">
                  <c:v>99.136825912315189</c:v>
                </c:pt>
                <c:pt idx="47">
                  <c:v>100.84608153149304</c:v>
                </c:pt>
                <c:pt idx="48">
                  <c:v>102.55533715067088</c:v>
                </c:pt>
              </c:numCache>
            </c:numRef>
          </c:val>
          <c:smooth val="0"/>
        </c:ser>
        <c:ser>
          <c:idx val="1"/>
          <c:order val="1"/>
          <c:tx>
            <c:v>BSA</c:v>
          </c:tx>
          <c:spPr>
            <a:ln w="381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Data!$B$2:$B$50</c:f>
              <c:numCache>
                <c:formatCode>#,##0</c:formatCode>
                <c:ptCount val="49"/>
                <c:pt idx="0">
                  <c:v>1200</c:v>
                </c:pt>
                <c:pt idx="1">
                  <c:v>1300</c:v>
                </c:pt>
                <c:pt idx="2">
                  <c:v>1400</c:v>
                </c:pt>
                <c:pt idx="3">
                  <c:v>1500</c:v>
                </c:pt>
                <c:pt idx="4">
                  <c:v>1600</c:v>
                </c:pt>
                <c:pt idx="5">
                  <c:v>1700</c:v>
                </c:pt>
                <c:pt idx="6">
                  <c:v>1800</c:v>
                </c:pt>
                <c:pt idx="7">
                  <c:v>1900</c:v>
                </c:pt>
                <c:pt idx="8">
                  <c:v>2000</c:v>
                </c:pt>
                <c:pt idx="9">
                  <c:v>2100</c:v>
                </c:pt>
                <c:pt idx="10">
                  <c:v>2200</c:v>
                </c:pt>
                <c:pt idx="11">
                  <c:v>2300</c:v>
                </c:pt>
                <c:pt idx="12">
                  <c:v>2400</c:v>
                </c:pt>
                <c:pt idx="13">
                  <c:v>2500</c:v>
                </c:pt>
                <c:pt idx="14">
                  <c:v>2600</c:v>
                </c:pt>
                <c:pt idx="15">
                  <c:v>2700</c:v>
                </c:pt>
                <c:pt idx="16">
                  <c:v>2800</c:v>
                </c:pt>
                <c:pt idx="17">
                  <c:v>2900</c:v>
                </c:pt>
                <c:pt idx="18">
                  <c:v>3000</c:v>
                </c:pt>
                <c:pt idx="19">
                  <c:v>3100</c:v>
                </c:pt>
                <c:pt idx="20">
                  <c:v>3200</c:v>
                </c:pt>
                <c:pt idx="21">
                  <c:v>3300</c:v>
                </c:pt>
                <c:pt idx="22">
                  <c:v>3400</c:v>
                </c:pt>
                <c:pt idx="23">
                  <c:v>3500</c:v>
                </c:pt>
                <c:pt idx="24">
                  <c:v>3600</c:v>
                </c:pt>
                <c:pt idx="25">
                  <c:v>3700</c:v>
                </c:pt>
                <c:pt idx="26">
                  <c:v>3800</c:v>
                </c:pt>
                <c:pt idx="27">
                  <c:v>3900</c:v>
                </c:pt>
                <c:pt idx="28">
                  <c:v>4000</c:v>
                </c:pt>
                <c:pt idx="29">
                  <c:v>4100</c:v>
                </c:pt>
                <c:pt idx="30">
                  <c:v>4200</c:v>
                </c:pt>
                <c:pt idx="31">
                  <c:v>4300</c:v>
                </c:pt>
                <c:pt idx="32">
                  <c:v>4400</c:v>
                </c:pt>
                <c:pt idx="33">
                  <c:v>4500</c:v>
                </c:pt>
                <c:pt idx="34">
                  <c:v>4600</c:v>
                </c:pt>
                <c:pt idx="35">
                  <c:v>4700</c:v>
                </c:pt>
                <c:pt idx="36">
                  <c:v>4800</c:v>
                </c:pt>
                <c:pt idx="37">
                  <c:v>4900</c:v>
                </c:pt>
                <c:pt idx="38">
                  <c:v>5000</c:v>
                </c:pt>
                <c:pt idx="39">
                  <c:v>5100</c:v>
                </c:pt>
                <c:pt idx="40">
                  <c:v>5200</c:v>
                </c:pt>
                <c:pt idx="41">
                  <c:v>5300</c:v>
                </c:pt>
                <c:pt idx="42">
                  <c:v>5400</c:v>
                </c:pt>
                <c:pt idx="43">
                  <c:v>5500</c:v>
                </c:pt>
                <c:pt idx="44">
                  <c:v>5600</c:v>
                </c:pt>
                <c:pt idx="45">
                  <c:v>5700</c:v>
                </c:pt>
                <c:pt idx="46">
                  <c:v>5800</c:v>
                </c:pt>
                <c:pt idx="47">
                  <c:v>5900</c:v>
                </c:pt>
                <c:pt idx="48">
                  <c:v>6000</c:v>
                </c:pt>
              </c:numCache>
            </c:numRef>
          </c:cat>
          <c:val>
            <c:numRef>
              <c:f>Data!$E$2:$E$50</c:f>
              <c:numCache>
                <c:formatCode>#,##0.00</c:formatCode>
                <c:ptCount val="49"/>
                <c:pt idx="0">
                  <c:v>25.63883428766772</c:v>
                </c:pt>
                <c:pt idx="1">
                  <c:v>25.63883428766772</c:v>
                </c:pt>
                <c:pt idx="2">
                  <c:v>25.63883428766772</c:v>
                </c:pt>
                <c:pt idx="3">
                  <c:v>25.63883428766772</c:v>
                </c:pt>
                <c:pt idx="4">
                  <c:v>25.63883428766772</c:v>
                </c:pt>
                <c:pt idx="5">
                  <c:v>25.63883428766772</c:v>
                </c:pt>
                <c:pt idx="6">
                  <c:v>25.63883428766772</c:v>
                </c:pt>
                <c:pt idx="7">
                  <c:v>25.980685411503291</c:v>
                </c:pt>
                <c:pt idx="8">
                  <c:v>27.348089906845569</c:v>
                </c:pt>
                <c:pt idx="9">
                  <c:v>28.715494402187847</c:v>
                </c:pt>
                <c:pt idx="10">
                  <c:v>30.082898897530125</c:v>
                </c:pt>
                <c:pt idx="11">
                  <c:v>31.450303392872403</c:v>
                </c:pt>
                <c:pt idx="12">
                  <c:v>32.817707888214684</c:v>
                </c:pt>
                <c:pt idx="13">
                  <c:v>34.185112383556962</c:v>
                </c:pt>
                <c:pt idx="14">
                  <c:v>35.55251687889924</c:v>
                </c:pt>
                <c:pt idx="15">
                  <c:v>36.919921374241518</c:v>
                </c:pt>
                <c:pt idx="16">
                  <c:v>38.287325869583796</c:v>
                </c:pt>
                <c:pt idx="17">
                  <c:v>39.654730364926074</c:v>
                </c:pt>
                <c:pt idx="18">
                  <c:v>41.022134860268352</c:v>
                </c:pt>
                <c:pt idx="19">
                  <c:v>42.38953935561063</c:v>
                </c:pt>
                <c:pt idx="20">
                  <c:v>43.756943850952908</c:v>
                </c:pt>
                <c:pt idx="21">
                  <c:v>45.124348346295186</c:v>
                </c:pt>
                <c:pt idx="22">
                  <c:v>46.491752841637464</c:v>
                </c:pt>
                <c:pt idx="23">
                  <c:v>47.859157336979749</c:v>
                </c:pt>
                <c:pt idx="24">
                  <c:v>49.226561832322027</c:v>
                </c:pt>
                <c:pt idx="25">
                  <c:v>50.593966327664305</c:v>
                </c:pt>
                <c:pt idx="26">
                  <c:v>51.27766857533544</c:v>
                </c:pt>
                <c:pt idx="27">
                  <c:v>51.27766857533544</c:v>
                </c:pt>
                <c:pt idx="28">
                  <c:v>51.27766857533544</c:v>
                </c:pt>
                <c:pt idx="29">
                  <c:v>51.27766857533544</c:v>
                </c:pt>
                <c:pt idx="30">
                  <c:v>51.27766857533544</c:v>
                </c:pt>
                <c:pt idx="31">
                  <c:v>51.27766857533544</c:v>
                </c:pt>
                <c:pt idx="32">
                  <c:v>51.27766857533544</c:v>
                </c:pt>
                <c:pt idx="33">
                  <c:v>51.27766857533544</c:v>
                </c:pt>
                <c:pt idx="34">
                  <c:v>51.27766857533544</c:v>
                </c:pt>
                <c:pt idx="35">
                  <c:v>51.27766857533544</c:v>
                </c:pt>
                <c:pt idx="36">
                  <c:v>51.27766857533544</c:v>
                </c:pt>
                <c:pt idx="37">
                  <c:v>51.27766857533544</c:v>
                </c:pt>
                <c:pt idx="38">
                  <c:v>51.27766857533544</c:v>
                </c:pt>
                <c:pt idx="39">
                  <c:v>51.27766857533544</c:v>
                </c:pt>
                <c:pt idx="40">
                  <c:v>51.27766857533544</c:v>
                </c:pt>
                <c:pt idx="41">
                  <c:v>51.27766857533544</c:v>
                </c:pt>
                <c:pt idx="42">
                  <c:v>51.27766857533544</c:v>
                </c:pt>
                <c:pt idx="43">
                  <c:v>51.27766857533544</c:v>
                </c:pt>
                <c:pt idx="44">
                  <c:v>51.27766857533544</c:v>
                </c:pt>
                <c:pt idx="45">
                  <c:v>51.27766857533544</c:v>
                </c:pt>
                <c:pt idx="46">
                  <c:v>51.27766857533544</c:v>
                </c:pt>
                <c:pt idx="47">
                  <c:v>51.27766857533544</c:v>
                </c:pt>
                <c:pt idx="48">
                  <c:v>51.27766857533544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38304"/>
        <c:axId val="113684480"/>
      </c:lineChart>
      <c:scatterChart>
        <c:scatterStyle val="lineMarker"/>
        <c:varyColors val="0"/>
        <c:ser>
          <c:idx val="5"/>
          <c:order val="2"/>
          <c:tx>
            <c:strRef>
              <c:f>Data!$G$1</c:f>
              <c:strCache>
                <c:ptCount val="1"/>
                <c:pt idx="0">
                  <c:v>Valorisation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dLbls>
            <c:dLbl>
              <c:idx val="1"/>
              <c:delete val="1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Data!$H$2:$I$2</c:f>
              <c:numCache>
                <c:formatCode>#,##0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Data!$H$3:$I$3</c:f>
              <c:numCache>
                <c:formatCode>#,##0</c:formatCode>
                <c:ptCount val="2"/>
                <c:pt idx="0">
                  <c:v>105</c:v>
                </c:pt>
                <c:pt idx="1">
                  <c:v>15</c:v>
                </c:pt>
              </c:numCache>
            </c:numRef>
          </c:yVal>
          <c:smooth val="0"/>
        </c:ser>
        <c:ser>
          <c:idx val="0"/>
          <c:order val="3"/>
          <c:tx>
            <c:v>Décote réelle</c:v>
          </c:tx>
          <c:spPr>
            <a:ln w="25400">
              <a:solidFill>
                <a:srgbClr val="FF0000"/>
              </a:solidFill>
              <a:headEnd type="oval" w="sm" len="sm"/>
              <a:tailEnd type="oval" w="sm" len="sm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88527253278481E-3"/>
                  <c:y val="3.125E-2"/>
                </c:manualLayout>
              </c:layout>
              <c:tx>
                <c:strRef>
                  <c:f>'Simulation BSA'!$G$29</c:f>
                  <c:strCache>
                    <c:ptCount val="1"/>
                    <c:pt idx="0">
                      <c:v>20,01%</c:v>
                    </c:pt>
                  </c:strCache>
                </c:strRef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Data!$H$6:$I$6</c:f>
              <c:numCache>
                <c:formatCode>#,##0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Data!$H$7:$I$7</c:f>
              <c:numCache>
                <c:formatCode>#,##0</c:formatCode>
                <c:ptCount val="2"/>
                <c:pt idx="0">
                  <c:v>51.27766857533544</c:v>
                </c:pt>
                <c:pt idx="1">
                  <c:v>41.022134860268352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38304"/>
        <c:axId val="113684480"/>
      </c:scatterChart>
      <c:catAx>
        <c:axId val="8193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Valorisation (k€)</a:t>
                </a:r>
              </a:p>
            </c:rich>
          </c:tx>
          <c:layout>
            <c:manualLayout>
              <c:xMode val="edge"/>
              <c:yMode val="edge"/>
              <c:x val="0.78649747536164538"/>
              <c:y val="0.79259350393700789"/>
            </c:manualLayout>
          </c:layout>
          <c:overlay val="0"/>
        </c:title>
        <c:numFmt formatCode="#,##0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fr-FR"/>
          </a:p>
        </c:txPr>
        <c:crossAx val="113684480"/>
        <c:crosses val="autoZero"/>
        <c:auto val="1"/>
        <c:lblAlgn val="ctr"/>
        <c:lblOffset val="150"/>
        <c:tickLblSkip val="3"/>
        <c:noMultiLvlLbl val="0"/>
      </c:catAx>
      <c:valAx>
        <c:axId val="113684480"/>
        <c:scaling>
          <c:orientation val="minMax"/>
          <c:max val="120"/>
          <c:min val="0"/>
        </c:scaling>
        <c:delete val="0"/>
        <c:axPos val="l"/>
        <c:majorGridlines/>
        <c:numFmt formatCode="#,##0.0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81938304"/>
        <c:crosses val="autoZero"/>
        <c:crossBetween val="midCat"/>
        <c:majorUnit val="20"/>
        <c:minorUnit val="5"/>
      </c:valAx>
      <c:spPr>
        <a:noFill/>
      </c:spPr>
    </c:plotArea>
    <c:legend>
      <c:legendPos val="r"/>
      <c:legendEntry>
        <c:idx val="0"/>
        <c:txPr>
          <a:bodyPr/>
          <a:lstStyle/>
          <a:p>
            <a:pPr>
              <a:defRPr sz="1100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100"/>
            </a:pPr>
            <a:endParaRPr lang="fr-FR"/>
          </a:p>
        </c:txPr>
      </c:legendEntry>
      <c:legendEntry>
        <c:idx val="2"/>
        <c:delete val="1"/>
      </c:legendEntry>
      <c:legendEntry>
        <c:idx val="3"/>
        <c:txPr>
          <a:bodyPr/>
          <a:lstStyle/>
          <a:p>
            <a:pPr>
              <a:defRPr sz="1100"/>
            </a:pPr>
            <a:endParaRPr lang="fr-FR"/>
          </a:p>
        </c:txPr>
      </c:legendEntry>
      <c:layout>
        <c:manualLayout>
          <c:xMode val="edge"/>
          <c:yMode val="edge"/>
          <c:x val="0.75855882603917013"/>
          <c:y val="0.61123222878390204"/>
          <c:w val="0.19679379398222349"/>
          <c:h val="0.12677302055993001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Répartition du capital</a:t>
            </a:r>
          </a:p>
        </c:rich>
      </c:tx>
      <c:layout>
        <c:manualLayout>
          <c:xMode val="edge"/>
          <c:yMode val="edge"/>
          <c:x val="2.5742158467815284E-2"/>
          <c:y val="0.284520970148440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909987009199606"/>
          <c:y val="5.759961822953949E-3"/>
          <c:w val="0.56158010551711335"/>
          <c:h val="0.9822687247549317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Data!$N$2:$N$4</c:f>
              <c:strCache>
                <c:ptCount val="3"/>
                <c:pt idx="0">
                  <c:v>Fondateurs</c:v>
                </c:pt>
                <c:pt idx="1">
                  <c:v>Souscripteurs AIR</c:v>
                </c:pt>
                <c:pt idx="2">
                  <c:v>Investisseurs pre-seed</c:v>
                </c:pt>
              </c:strCache>
            </c:strRef>
          </c:cat>
          <c:val>
            <c:numRef>
              <c:f>Data!$O$2:$O$4</c:f>
              <c:numCache>
                <c:formatCode>0.00%</c:formatCode>
                <c:ptCount val="3"/>
                <c:pt idx="0">
                  <c:v>0.84189999999999998</c:v>
                </c:pt>
                <c:pt idx="1">
                  <c:v>5.9900000000000002E-2</c:v>
                </c:pt>
                <c:pt idx="2">
                  <c:v>9.8199999999999996E-2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egendEntry>
        <c:idx val="0"/>
        <c:txPr>
          <a:bodyPr/>
          <a:lstStyle/>
          <a:p>
            <a:pPr>
              <a:defRPr sz="1200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fr-FR"/>
          </a:p>
        </c:txPr>
      </c:legendEntry>
      <c:layout>
        <c:manualLayout>
          <c:xMode val="edge"/>
          <c:yMode val="edge"/>
          <c:x val="1.8099547511312219E-2"/>
          <c:y val="0.40768669476481417"/>
          <c:w val="0.41258084820845353"/>
          <c:h val="0.4482504002352403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180974</xdr:colOff>
      <xdr:row>7</xdr:row>
      <xdr:rowOff>85726</xdr:rowOff>
    </xdr:from>
    <xdr:to>
      <xdr:col>18</xdr:col>
      <xdr:colOff>9525</xdr:colOff>
      <xdr:row>27</xdr:row>
      <xdr:rowOff>123826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27</xdr:row>
      <xdr:rowOff>152401</xdr:rowOff>
    </xdr:from>
    <xdr:to>
      <xdr:col>17</xdr:col>
      <xdr:colOff>704850</xdr:colOff>
      <xdr:row>39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0.00745</cdr:y>
    </cdr:from>
    <cdr:to>
      <cdr:x>0.23592</cdr:x>
      <cdr:y>0.08406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7261"/>
          <a:ext cx="1476376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fr-FR" sz="1200" b="1"/>
            <a:t>Coût</a:t>
          </a:r>
          <a:r>
            <a:rPr lang="fr-FR" sz="1200" b="1" baseline="0"/>
            <a:t> par action (€)</a:t>
          </a:r>
          <a:endParaRPr lang="fr-FR" sz="1200" b="1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O53"/>
  <sheetViews>
    <sheetView showGridLines="0" tabSelected="1" zoomScaleNormal="100" zoomScalePageLayoutView="120" workbookViewId="0">
      <selection activeCell="I25" sqref="I25"/>
    </sheetView>
  </sheetViews>
  <sheetFormatPr baseColWidth="10" defaultColWidth="14.44140625" defaultRowHeight="15" customHeight="1" x14ac:dyDescent="0.25"/>
  <cols>
    <col min="1" max="1" width="36.6640625" style="8" customWidth="1"/>
    <col min="2" max="2" width="11.33203125" style="8" bestFit="1" customWidth="1"/>
    <col min="3" max="3" width="2.6640625" style="8" customWidth="1"/>
    <col min="4" max="4" width="32.6640625" style="8" customWidth="1"/>
    <col min="5" max="5" width="3.6640625" style="8" customWidth="1"/>
    <col min="6" max="6" width="9.6640625" style="8" customWidth="1"/>
    <col min="7" max="9" width="13.6640625" style="8" customWidth="1"/>
    <col min="10" max="10" width="2.6640625" style="8" customWidth="1"/>
    <col min="11" max="18" width="11.6640625" style="8" customWidth="1"/>
    <col min="19" max="16384" width="14.44140625" style="8"/>
  </cols>
  <sheetData>
    <row r="1" spans="1:15" ht="15" customHeight="1" x14ac:dyDescent="0.3">
      <c r="A1" s="6" t="s">
        <v>0</v>
      </c>
      <c r="B1" s="7"/>
      <c r="C1" s="7"/>
      <c r="D1" s="7"/>
      <c r="E1" s="7"/>
      <c r="G1" s="7"/>
      <c r="H1" s="7"/>
      <c r="I1" s="7"/>
      <c r="J1" s="7"/>
      <c r="K1" s="7"/>
    </row>
    <row r="2" spans="1:15" ht="15" customHeight="1" thickBot="1" x14ac:dyDescent="0.35">
      <c r="A2" s="6"/>
      <c r="B2" s="7"/>
      <c r="C2" s="7"/>
      <c r="D2" s="7"/>
      <c r="E2" s="7"/>
      <c r="G2" s="7"/>
      <c r="H2" s="7"/>
      <c r="I2" s="7"/>
      <c r="J2" s="7"/>
      <c r="K2" s="7"/>
    </row>
    <row r="3" spans="1:15" ht="15" customHeight="1" thickBot="1" x14ac:dyDescent="0.3">
      <c r="A3" s="135" t="s">
        <v>24</v>
      </c>
      <c r="B3" s="136"/>
      <c r="D3" s="134" t="s">
        <v>42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ht="15" customHeight="1" x14ac:dyDescent="0.25">
      <c r="A4" s="137" t="s">
        <v>41</v>
      </c>
      <c r="B4" s="137"/>
      <c r="D4" s="138" t="s">
        <v>43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5" ht="15" customHeight="1" x14ac:dyDescent="0.25">
      <c r="A5" s="137"/>
      <c r="B5" s="137"/>
      <c r="D5" s="134" t="s">
        <v>46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ht="15" customHeight="1" x14ac:dyDescent="0.25">
      <c r="A6" s="137"/>
      <c r="B6" s="137"/>
      <c r="D6" s="138" t="s">
        <v>44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1:15" ht="15" customHeight="1" x14ac:dyDescent="0.25">
      <c r="A7" s="137"/>
      <c r="B7" s="137"/>
      <c r="D7" s="138" t="s">
        <v>45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15" s="9" customFormat="1" ht="1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s="9" customFormat="1" ht="15" customHeight="1" thickBot="1" x14ac:dyDescent="0.25">
      <c r="A9" s="97" t="s">
        <v>13</v>
      </c>
      <c r="B9" s="98"/>
      <c r="C9" s="7"/>
      <c r="D9" s="120" t="s">
        <v>12</v>
      </c>
      <c r="E9" s="121"/>
      <c r="F9" s="121"/>
      <c r="G9" s="122"/>
      <c r="K9" s="7"/>
    </row>
    <row r="10" spans="1:15" s="9" customFormat="1" ht="15" customHeight="1" thickBot="1" x14ac:dyDescent="0.25">
      <c r="A10" s="54" t="s">
        <v>57</v>
      </c>
      <c r="B10" s="65">
        <v>500000</v>
      </c>
      <c r="D10" s="91" t="s">
        <v>62</v>
      </c>
      <c r="E10" s="92"/>
      <c r="F10" s="93"/>
      <c r="G10" s="90">
        <f>B12</f>
        <v>3000000</v>
      </c>
      <c r="K10" s="7"/>
    </row>
    <row r="11" spans="1:15" s="9" customFormat="1" ht="15" customHeight="1" thickBot="1" x14ac:dyDescent="0.25">
      <c r="A11" s="56" t="s">
        <v>58</v>
      </c>
      <c r="B11" s="66">
        <f>B10-B20</f>
        <v>350000</v>
      </c>
      <c r="D11" s="91" t="s">
        <v>20</v>
      </c>
      <c r="E11" s="92"/>
      <c r="F11" s="93"/>
      <c r="G11" s="70">
        <f>G10/B18</f>
        <v>51.27766857533544</v>
      </c>
      <c r="K11" s="7"/>
    </row>
    <row r="12" spans="1:15" s="9" customFormat="1" ht="15" customHeight="1" thickBot="1" x14ac:dyDescent="0.3">
      <c r="A12" s="55" t="s">
        <v>63</v>
      </c>
      <c r="B12" s="67">
        <v>3000000</v>
      </c>
      <c r="D12" s="114" t="s">
        <v>9</v>
      </c>
      <c r="E12" s="115"/>
      <c r="F12" s="116"/>
      <c r="G12" s="17">
        <f>ROUND(G11,2)</f>
        <v>51.28</v>
      </c>
      <c r="K12" s="7"/>
    </row>
    <row r="13" spans="1:15" s="9" customFormat="1" ht="15" customHeight="1" x14ac:dyDescent="0.2">
      <c r="C13" s="7"/>
      <c r="D13" s="114" t="s">
        <v>15</v>
      </c>
      <c r="E13" s="115"/>
      <c r="F13" s="116"/>
      <c r="G13" s="17">
        <f>G12-$B$19</f>
        <v>46.28</v>
      </c>
      <c r="K13" s="7"/>
    </row>
    <row r="14" spans="1:15" s="9" customFormat="1" ht="15" customHeight="1" x14ac:dyDescent="0.2">
      <c r="D14" s="91" t="s">
        <v>21</v>
      </c>
      <c r="E14" s="92"/>
      <c r="F14" s="93"/>
      <c r="G14" s="16">
        <f>ROUNDDOWN(B11/G12,0)</f>
        <v>6825</v>
      </c>
      <c r="K14" s="7"/>
    </row>
    <row r="15" spans="1:15" s="9" customFormat="1" ht="15" customHeight="1" x14ac:dyDescent="0.25">
      <c r="C15" s="7"/>
      <c r="D15" s="114" t="s">
        <v>16</v>
      </c>
      <c r="E15" s="115"/>
      <c r="F15" s="116"/>
      <c r="G15" s="17">
        <f>G13*G14</f>
        <v>315861</v>
      </c>
      <c r="H15" s="15"/>
      <c r="K15" s="7"/>
    </row>
    <row r="16" spans="1:15" s="9" customFormat="1" ht="15" customHeight="1" x14ac:dyDescent="0.2">
      <c r="K16" s="7"/>
    </row>
    <row r="17" spans="1:11" s="9" customFormat="1" ht="15" customHeight="1" x14ac:dyDescent="0.2">
      <c r="A17" s="132" t="s">
        <v>1</v>
      </c>
      <c r="B17" s="133"/>
      <c r="C17" s="7"/>
      <c r="D17" s="129" t="s">
        <v>23</v>
      </c>
      <c r="E17" s="130"/>
      <c r="F17" s="130"/>
      <c r="G17" s="131"/>
      <c r="H17" s="10" t="s">
        <v>19</v>
      </c>
      <c r="I17" s="11" t="s">
        <v>18</v>
      </c>
      <c r="K17" s="7"/>
    </row>
    <row r="18" spans="1:11" s="9" customFormat="1" ht="15" customHeight="1" x14ac:dyDescent="0.2">
      <c r="A18" s="28" t="s">
        <v>2</v>
      </c>
      <c r="B18" s="12">
        <v>58505</v>
      </c>
      <c r="C18" s="7"/>
      <c r="D18" s="123" t="s">
        <v>6</v>
      </c>
      <c r="E18" s="124"/>
      <c r="F18" s="125"/>
      <c r="G18" s="76">
        <f>IF(($B$12*(1-$B$21))&lt;=$B$22,$B$22,IF(($B$12*(1-$B$21))&gt;=$B$23,$B$23,($B$12*(1-$B$21))))</f>
        <v>2400000</v>
      </c>
      <c r="H18" s="71">
        <f>B22</f>
        <v>1500000</v>
      </c>
      <c r="I18" s="72">
        <f>B23</f>
        <v>3000000</v>
      </c>
      <c r="K18" s="7"/>
    </row>
    <row r="19" spans="1:11" s="9" customFormat="1" ht="15" customHeight="1" x14ac:dyDescent="0.2">
      <c r="A19" s="28" t="s">
        <v>56</v>
      </c>
      <c r="B19" s="69">
        <v>5</v>
      </c>
      <c r="C19" s="7"/>
      <c r="D19" s="123" t="s">
        <v>7</v>
      </c>
      <c r="E19" s="124"/>
      <c r="F19" s="125"/>
      <c r="G19" s="77">
        <f>$G$18/$B$18</f>
        <v>41.022134860268352</v>
      </c>
      <c r="H19" s="73">
        <f>$H$18/$B$18</f>
        <v>25.63883428766772</v>
      </c>
      <c r="I19" s="74">
        <f>$I$18/$B$18</f>
        <v>51.27766857533544</v>
      </c>
      <c r="K19" s="7"/>
    </row>
    <row r="20" spans="1:11" s="9" customFormat="1" ht="15" customHeight="1" x14ac:dyDescent="0.2">
      <c r="A20" s="28" t="s">
        <v>30</v>
      </c>
      <c r="B20" s="68">
        <v>150000</v>
      </c>
      <c r="C20" s="7"/>
      <c r="D20" s="123" t="s">
        <v>9</v>
      </c>
      <c r="E20" s="124"/>
      <c r="F20" s="125"/>
      <c r="G20" s="78">
        <f>ROUND(G19,2)</f>
        <v>41.02</v>
      </c>
      <c r="H20" s="38">
        <f>ROUND(H19,2)</f>
        <v>25.64</v>
      </c>
      <c r="I20" s="42">
        <f>ROUND(I19,2)</f>
        <v>51.28</v>
      </c>
      <c r="K20" s="7"/>
    </row>
    <row r="21" spans="1:11" s="9" customFormat="1" ht="15" customHeight="1" x14ac:dyDescent="0.2">
      <c r="A21" s="28" t="s">
        <v>59</v>
      </c>
      <c r="B21" s="13">
        <v>0.2</v>
      </c>
      <c r="C21" s="7"/>
      <c r="D21" s="123" t="s">
        <v>10</v>
      </c>
      <c r="E21" s="124"/>
      <c r="F21" s="125"/>
      <c r="G21" s="78">
        <f>G20-$B$19</f>
        <v>36.020000000000003</v>
      </c>
      <c r="H21" s="38">
        <f>H20-$B$19</f>
        <v>20.64</v>
      </c>
      <c r="I21" s="42">
        <f>I20-$B$19</f>
        <v>46.28</v>
      </c>
      <c r="K21" s="7"/>
    </row>
    <row r="22" spans="1:11" s="9" customFormat="1" ht="15" customHeight="1" x14ac:dyDescent="0.2">
      <c r="A22" s="82" t="s">
        <v>31</v>
      </c>
      <c r="B22" s="83">
        <v>1500000</v>
      </c>
      <c r="C22" s="7"/>
      <c r="D22" s="123" t="s">
        <v>8</v>
      </c>
      <c r="E22" s="124"/>
      <c r="F22" s="125"/>
      <c r="G22" s="79">
        <f>ROUNDDOWN($B$20/$G$21,)</f>
        <v>4164</v>
      </c>
      <c r="H22" s="37">
        <f>ROUNDDOWN($B$20/$H$21,)</f>
        <v>7267</v>
      </c>
      <c r="I22" s="41">
        <f>ROUNDDOWN($B$20/$I$21,)</f>
        <v>3241</v>
      </c>
      <c r="K22" s="7"/>
    </row>
    <row r="23" spans="1:11" s="9" customFormat="1" ht="15" customHeight="1" x14ac:dyDescent="0.2">
      <c r="A23" s="84" t="s">
        <v>32</v>
      </c>
      <c r="B23" s="85">
        <f>B22*2</f>
        <v>3000000</v>
      </c>
      <c r="C23" s="7"/>
      <c r="D23" s="123" t="s">
        <v>11</v>
      </c>
      <c r="E23" s="124"/>
      <c r="F23" s="125"/>
      <c r="G23" s="78">
        <f>G21*G22</f>
        <v>149987.28</v>
      </c>
      <c r="H23" s="38">
        <f>H21*H22</f>
        <v>149990.88</v>
      </c>
      <c r="I23" s="42">
        <f>I21*I22</f>
        <v>149993.48000000001</v>
      </c>
      <c r="K23" s="7"/>
    </row>
    <row r="24" spans="1:11" s="9" customFormat="1" ht="15" customHeight="1" thickBot="1" x14ac:dyDescent="0.25">
      <c r="H24" s="39"/>
      <c r="I24" s="40"/>
      <c r="K24" s="7"/>
    </row>
    <row r="25" spans="1:11" s="9" customFormat="1" ht="15" customHeight="1" thickBot="1" x14ac:dyDescent="0.25">
      <c r="A25" s="62" t="s">
        <v>53</v>
      </c>
      <c r="B25" s="64">
        <v>5000</v>
      </c>
      <c r="C25" s="7"/>
      <c r="D25" s="62" t="s">
        <v>52</v>
      </c>
      <c r="E25" s="63">
        <v>1</v>
      </c>
      <c r="F25" s="75" t="s">
        <v>39</v>
      </c>
      <c r="G25" s="61">
        <f>ROUNDDOWN(G22*($B$25/$B$20)*E25,)</f>
        <v>138</v>
      </c>
      <c r="H25" s="57">
        <f>ROUNDDOWN(H22*($B$25/$B$20)*E25,)</f>
        <v>242</v>
      </c>
      <c r="I25" s="58">
        <f>ROUNDDOWN(I22*($B$25/$B$20)*E25,)</f>
        <v>108</v>
      </c>
      <c r="K25" s="7"/>
    </row>
    <row r="26" spans="1:11" s="9" customFormat="1" ht="15" customHeight="1" thickBot="1" x14ac:dyDescent="0.25">
      <c r="C26" s="7"/>
      <c r="D26" s="126" t="s">
        <v>54</v>
      </c>
      <c r="E26" s="127"/>
      <c r="F26" s="128"/>
      <c r="G26" s="80">
        <f>G25*$B$19</f>
        <v>690</v>
      </c>
      <c r="H26" s="59">
        <f>H25*$B$19</f>
        <v>1210</v>
      </c>
      <c r="I26" s="60">
        <f>I25*$B$19</f>
        <v>540</v>
      </c>
      <c r="K26" s="7"/>
    </row>
    <row r="27" spans="1:11" s="9" customFormat="1" ht="15" customHeight="1" thickTop="1" thickBot="1" x14ac:dyDescent="0.25">
      <c r="C27" s="7"/>
      <c r="D27" s="117" t="s">
        <v>55</v>
      </c>
      <c r="E27" s="118"/>
      <c r="F27" s="119"/>
      <c r="G27" s="81">
        <f>($B$25*E25)+G26</f>
        <v>5690</v>
      </c>
      <c r="H27" s="43">
        <f>($B$25*E25)+H26</f>
        <v>6210</v>
      </c>
      <c r="I27" s="44">
        <f>($B$25*E25)+I26</f>
        <v>5540</v>
      </c>
    </row>
    <row r="28" spans="1:11" s="9" customFormat="1" ht="15" customHeight="1" thickTop="1" x14ac:dyDescent="0.2"/>
    <row r="29" spans="1:11" s="9" customFormat="1" ht="15" customHeight="1" x14ac:dyDescent="0.2">
      <c r="D29" s="123" t="s">
        <v>25</v>
      </c>
      <c r="E29" s="124"/>
      <c r="F29" s="125"/>
      <c r="G29" s="14">
        <f>(G12-G20)/G12</f>
        <v>0.20007800312012478</v>
      </c>
    </row>
    <row r="30" spans="1:11" s="9" customFormat="1" ht="15" customHeight="1" x14ac:dyDescent="0.2"/>
    <row r="31" spans="1:11" s="9" customFormat="1" ht="15" customHeight="1" x14ac:dyDescent="0.2">
      <c r="A31" s="99" t="s">
        <v>40</v>
      </c>
      <c r="B31" s="101"/>
      <c r="C31" s="7"/>
      <c r="D31" s="99" t="s">
        <v>35</v>
      </c>
      <c r="E31" s="100"/>
      <c r="F31" s="101"/>
      <c r="G31" s="18" t="s">
        <v>3</v>
      </c>
      <c r="H31" s="18" t="s">
        <v>4</v>
      </c>
      <c r="I31" s="18" t="s">
        <v>61</v>
      </c>
    </row>
    <row r="32" spans="1:11" s="9" customFormat="1" ht="15" customHeight="1" x14ac:dyDescent="0.25">
      <c r="A32" s="87" t="s">
        <v>64</v>
      </c>
      <c r="B32" s="88">
        <f>B12</f>
        <v>3000000</v>
      </c>
      <c r="D32" s="102" t="s">
        <v>5</v>
      </c>
      <c r="E32" s="103"/>
      <c r="F32" s="104"/>
      <c r="G32" s="19">
        <f>B18</f>
        <v>58505</v>
      </c>
      <c r="H32" s="20">
        <f>ROUND(G32/$G$37,4)</f>
        <v>0.84189999999999998</v>
      </c>
    </row>
    <row r="33" spans="1:11" s="9" customFormat="1" ht="15" customHeight="1" x14ac:dyDescent="0.25">
      <c r="A33" s="87" t="s">
        <v>60</v>
      </c>
      <c r="B33" s="88">
        <f>G37*G12</f>
        <v>3563652.3200000003</v>
      </c>
      <c r="D33" s="105" t="s">
        <v>22</v>
      </c>
      <c r="E33" s="106"/>
      <c r="F33" s="107"/>
      <c r="G33" s="21">
        <f>G22</f>
        <v>4164</v>
      </c>
      <c r="H33" s="22">
        <f>ROUND(G33/$G$37,4)</f>
        <v>5.9900000000000002E-2</v>
      </c>
    </row>
    <row r="34" spans="1:11" s="9" customFormat="1" ht="15" customHeight="1" x14ac:dyDescent="0.2">
      <c r="D34" s="32" t="s">
        <v>38</v>
      </c>
      <c r="E34" s="33">
        <f>E25</f>
        <v>1</v>
      </c>
      <c r="F34" s="34" t="s">
        <v>39</v>
      </c>
      <c r="G34" s="35">
        <f>G25</f>
        <v>138</v>
      </c>
      <c r="H34" s="36">
        <f>H33*($B$25/$B$20)*E25</f>
        <v>1.9966666666666666E-3</v>
      </c>
      <c r="I34" s="89">
        <f>B33*H34</f>
        <v>7115.4257989333337</v>
      </c>
    </row>
    <row r="35" spans="1:11" s="9" customFormat="1" ht="15" customHeight="1" x14ac:dyDescent="0.2">
      <c r="D35" s="108" t="s">
        <v>14</v>
      </c>
      <c r="E35" s="109"/>
      <c r="F35" s="110"/>
      <c r="G35" s="50">
        <f>G14</f>
        <v>6825</v>
      </c>
      <c r="H35" s="51">
        <f>ROUND(G35/$G$37,4)</f>
        <v>9.8199999999999996E-2</v>
      </c>
    </row>
    <row r="36" spans="1:11" s="9" customFormat="1" ht="15" customHeight="1" x14ac:dyDescent="0.25">
      <c r="C36" s="7"/>
      <c r="D36" s="111" t="s">
        <v>33</v>
      </c>
      <c r="E36" s="112"/>
      <c r="F36" s="113"/>
      <c r="G36" s="23">
        <f>G33+G35</f>
        <v>10989</v>
      </c>
      <c r="H36" s="24">
        <f>G36/G37</f>
        <v>0.15812875931735113</v>
      </c>
      <c r="K36" s="86"/>
    </row>
    <row r="37" spans="1:11" s="9" customFormat="1" ht="15" customHeight="1" x14ac:dyDescent="0.25">
      <c r="C37" s="7"/>
      <c r="D37" s="111" t="s">
        <v>34</v>
      </c>
      <c r="E37" s="112"/>
      <c r="F37" s="113"/>
      <c r="G37" s="25">
        <f>G32+G36</f>
        <v>69494</v>
      </c>
      <c r="H37" s="26">
        <f>(G32+G36)/G37</f>
        <v>1</v>
      </c>
    </row>
    <row r="38" spans="1:11" s="9" customFormat="1" ht="15" customHeight="1" x14ac:dyDescent="0.2">
      <c r="C38" s="7"/>
    </row>
    <row r="39" spans="1:11" s="9" customFormat="1" ht="15" customHeight="1" x14ac:dyDescent="0.25">
      <c r="D39" s="94" t="s">
        <v>17</v>
      </c>
      <c r="E39" s="95"/>
      <c r="F39" s="96"/>
      <c r="G39" s="27">
        <f>ROUND(G23+$G$15,)</f>
        <v>465848</v>
      </c>
    </row>
    <row r="51" spans="9:11" ht="15" customHeight="1" x14ac:dyDescent="0.25">
      <c r="I51" s="7"/>
      <c r="J51" s="7"/>
      <c r="K51" s="7"/>
    </row>
    <row r="52" spans="9:11" ht="15" customHeight="1" x14ac:dyDescent="0.25">
      <c r="I52" s="7"/>
      <c r="J52" s="7"/>
      <c r="K52" s="7"/>
    </row>
    <row r="53" spans="9:11" ht="15" customHeight="1" x14ac:dyDescent="0.25">
      <c r="I53" s="7"/>
      <c r="J53" s="7"/>
      <c r="K53" s="7"/>
    </row>
  </sheetData>
  <sheetProtection password="CCE1" sheet="1" objects="1" scenarios="1"/>
  <mergeCells count="34">
    <mergeCell ref="D3:O3"/>
    <mergeCell ref="A3:B3"/>
    <mergeCell ref="A4:B7"/>
    <mergeCell ref="D7:O7"/>
    <mergeCell ref="D4:O4"/>
    <mergeCell ref="D5:O5"/>
    <mergeCell ref="D6:O6"/>
    <mergeCell ref="D29:F29"/>
    <mergeCell ref="D15:F15"/>
    <mergeCell ref="D26:F26"/>
    <mergeCell ref="D17:G17"/>
    <mergeCell ref="A17:B17"/>
    <mergeCell ref="D18:F18"/>
    <mergeCell ref="D19:F19"/>
    <mergeCell ref="D20:F20"/>
    <mergeCell ref="D21:F21"/>
    <mergeCell ref="D22:F22"/>
    <mergeCell ref="D23:F23"/>
    <mergeCell ref="D10:F10"/>
    <mergeCell ref="D39:F39"/>
    <mergeCell ref="A9:B9"/>
    <mergeCell ref="D31:F31"/>
    <mergeCell ref="D32:F32"/>
    <mergeCell ref="D33:F33"/>
    <mergeCell ref="D35:F35"/>
    <mergeCell ref="D36:F36"/>
    <mergeCell ref="D37:F37"/>
    <mergeCell ref="D11:F11"/>
    <mergeCell ref="D12:F12"/>
    <mergeCell ref="D13:F13"/>
    <mergeCell ref="D14:F14"/>
    <mergeCell ref="D27:F27"/>
    <mergeCell ref="A31:B31"/>
    <mergeCell ref="D9:G9"/>
  </mergeCells>
  <dataValidations count="3">
    <dataValidation type="list" allowBlank="1" showInputMessage="1" showErrorMessage="1" promptTitle="Nombre de BSA AIR souscrits" prompt="Sélectionnez un nombre dans la liste." sqref="E25">
      <formula1>Nombre_BSA</formula1>
    </dataValidation>
    <dataValidation type="list" allowBlank="1" showInputMessage="1" showErrorMessage="1" promptTitle="Montant total de la levée" prompt="Sélectionnez un montant dans la liste._x000a_Notre hypothèse : 500.000 €" sqref="B10">
      <formula1>Levée</formula1>
    </dataValidation>
    <dataValidation type="list" allowBlank="1" showInputMessage="1" showErrorMessage="1" promptTitle="Valorisation pre-money" prompt="Sélectionnez un montant dans la liste._x000a_Notre hypothèse : 3.000.000 €" sqref="B12">
      <formula1>Valorisation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>
      <selection activeCell="I13" sqref="I13"/>
    </sheetView>
  </sheetViews>
  <sheetFormatPr baseColWidth="10" defaultRowHeight="13.2" x14ac:dyDescent="0.25"/>
  <cols>
    <col min="1" max="5" width="15.6640625" customWidth="1"/>
    <col min="6" max="6" width="3.6640625" customWidth="1"/>
    <col min="7" max="7" width="19.6640625" customWidth="1"/>
    <col min="8" max="9" width="10.6640625" customWidth="1"/>
    <col min="10" max="10" width="3.6640625" customWidth="1"/>
    <col min="11" max="12" width="15.6640625" customWidth="1"/>
    <col min="13" max="13" width="3.6640625" customWidth="1"/>
    <col min="14" max="15" width="15.6640625" customWidth="1"/>
  </cols>
  <sheetData>
    <row r="1" spans="1:15" x14ac:dyDescent="0.25">
      <c r="A1" s="2" t="s">
        <v>26</v>
      </c>
      <c r="B1" s="45" t="s">
        <v>47</v>
      </c>
      <c r="C1" s="3" t="s">
        <v>29</v>
      </c>
      <c r="D1" s="2" t="s">
        <v>27</v>
      </c>
      <c r="E1" s="1" t="s">
        <v>28</v>
      </c>
      <c r="G1" s="52" t="s">
        <v>26</v>
      </c>
      <c r="H1" s="53" t="s">
        <v>48</v>
      </c>
      <c r="I1" s="53" t="s">
        <v>49</v>
      </c>
      <c r="K1" s="2" t="s">
        <v>36</v>
      </c>
      <c r="L1" s="2" t="s">
        <v>37</v>
      </c>
      <c r="N1" s="31" t="s">
        <v>35</v>
      </c>
      <c r="O1" s="18" t="s">
        <v>4</v>
      </c>
    </row>
    <row r="2" spans="1:15" x14ac:dyDescent="0.25">
      <c r="A2" s="4">
        <v>1200000</v>
      </c>
      <c r="B2" s="46">
        <f t="shared" ref="B2:B50" si="0">A2/1000</f>
        <v>1200</v>
      </c>
      <c r="C2" s="5">
        <f>A2/'Simulation BSA'!$B$18</f>
        <v>20.511067430134176</v>
      </c>
      <c r="D2" s="4">
        <f>IF((A2*(1-'Simulation BSA'!$B$21))&lt;='Simulation BSA'!$B$22,'Simulation BSA'!$B$22,IF((A2*(1-'Simulation BSA'!$B$21))&gt;='Simulation BSA'!$B$23,'Simulation BSA'!$B$23,(A2*(1-'Simulation BSA'!$B$21))))</f>
        <v>1500000</v>
      </c>
      <c r="E2" s="5">
        <f>D2/'Simulation BSA'!$B$18</f>
        <v>25.63883428766772</v>
      </c>
      <c r="G2" s="52" t="s">
        <v>50</v>
      </c>
      <c r="H2" s="48">
        <f>((VLOOKUP('Simulation BSA'!$B$12,A2:E50,2,FALSE)-B2)/100)+1</f>
        <v>19</v>
      </c>
      <c r="I2" s="48">
        <f>H2</f>
        <v>19</v>
      </c>
      <c r="K2" s="4">
        <v>350000</v>
      </c>
      <c r="L2" s="4">
        <v>1</v>
      </c>
      <c r="N2" s="30" t="str">
        <f>'Simulation BSA'!$D$32</f>
        <v>Fondateurs</v>
      </c>
      <c r="O2" s="29">
        <f>'Simulation BSA'!H32</f>
        <v>0.84189999999999998</v>
      </c>
    </row>
    <row r="3" spans="1:15" x14ac:dyDescent="0.25">
      <c r="A3" s="4">
        <v>1300000</v>
      </c>
      <c r="B3" s="46">
        <f t="shared" si="0"/>
        <v>1300</v>
      </c>
      <c r="C3" s="5">
        <f>A3/'Simulation BSA'!$B$18</f>
        <v>22.220323049312025</v>
      </c>
      <c r="D3" s="4">
        <f>IF((A3*(1-'Simulation BSA'!$B$21))&lt;='Simulation BSA'!$B$22,'Simulation BSA'!$B$22,IF((A3*(1-'Simulation BSA'!$B$21))&gt;='Simulation BSA'!$B$23,'Simulation BSA'!$B$23,(A3*(1-'Simulation BSA'!$B$21))))</f>
        <v>1500000</v>
      </c>
      <c r="E3" s="5">
        <f>D3/'Simulation BSA'!$B$18</f>
        <v>25.63883428766772</v>
      </c>
      <c r="G3" s="52" t="s">
        <v>51</v>
      </c>
      <c r="H3" s="48">
        <v>105</v>
      </c>
      <c r="I3" s="48">
        <v>15</v>
      </c>
      <c r="K3" s="4">
        <v>400000</v>
      </c>
      <c r="L3" s="4">
        <v>2</v>
      </c>
      <c r="N3" s="30" t="str">
        <f>'Simulation BSA'!$D$33</f>
        <v>Souscripteurs AIR</v>
      </c>
      <c r="O3" s="29">
        <f>'Simulation BSA'!H33</f>
        <v>5.9900000000000002E-2</v>
      </c>
    </row>
    <row r="4" spans="1:15" x14ac:dyDescent="0.25">
      <c r="A4" s="4">
        <v>1400000</v>
      </c>
      <c r="B4" s="46">
        <f t="shared" si="0"/>
        <v>1400</v>
      </c>
      <c r="C4" s="5">
        <f>A4/'Simulation BSA'!$B$18</f>
        <v>23.929578668489874</v>
      </c>
      <c r="D4" s="4">
        <f>IF((A4*(1-'Simulation BSA'!$B$21))&lt;='Simulation BSA'!$B$22,'Simulation BSA'!$B$22,IF((A4*(1-'Simulation BSA'!$B$21))&gt;='Simulation BSA'!$B$23,'Simulation BSA'!$B$23,(A4*(1-'Simulation BSA'!$B$21))))</f>
        <v>1500000</v>
      </c>
      <c r="E4" s="5">
        <f>D4/'Simulation BSA'!$B$18</f>
        <v>25.63883428766772</v>
      </c>
      <c r="K4" s="4">
        <v>450000</v>
      </c>
      <c r="L4" s="4">
        <v>3</v>
      </c>
      <c r="N4" s="30" t="str">
        <f>'Simulation BSA'!$D$35</f>
        <v>Investisseurs pre-seed</v>
      </c>
      <c r="O4" s="29">
        <f>'Simulation BSA'!H35</f>
        <v>9.8199999999999996E-2</v>
      </c>
    </row>
    <row r="5" spans="1:15" x14ac:dyDescent="0.25">
      <c r="A5" s="4">
        <v>1500000</v>
      </c>
      <c r="B5" s="46">
        <f t="shared" si="0"/>
        <v>1500</v>
      </c>
      <c r="C5" s="5">
        <f>A5/'Simulation BSA'!$B$18</f>
        <v>25.63883428766772</v>
      </c>
      <c r="D5" s="4">
        <f>IF((A5*(1-'Simulation BSA'!$B$21))&lt;='Simulation BSA'!$B$22,'Simulation BSA'!$B$22,IF((A5*(1-'Simulation BSA'!$B$21))&gt;='Simulation BSA'!$B$23,'Simulation BSA'!$B$23,(A5*(1-'Simulation BSA'!$B$21))))</f>
        <v>1500000</v>
      </c>
      <c r="E5" s="5">
        <f>D5/'Simulation BSA'!$B$18</f>
        <v>25.63883428766772</v>
      </c>
      <c r="G5" s="49" t="s">
        <v>25</v>
      </c>
      <c r="H5" s="47" t="s">
        <v>48</v>
      </c>
      <c r="I5" s="47" t="s">
        <v>49</v>
      </c>
      <c r="K5" s="4">
        <v>500000</v>
      </c>
      <c r="L5" s="4">
        <v>4</v>
      </c>
    </row>
    <row r="6" spans="1:15" x14ac:dyDescent="0.25">
      <c r="A6" s="4">
        <v>1600000</v>
      </c>
      <c r="B6" s="46">
        <f t="shared" si="0"/>
        <v>1600</v>
      </c>
      <c r="C6" s="5">
        <f>A6/'Simulation BSA'!$B$18</f>
        <v>27.348089906845569</v>
      </c>
      <c r="D6" s="4">
        <f>IF((A6*(1-'Simulation BSA'!$B$21))&lt;='Simulation BSA'!$B$22,'Simulation BSA'!$B$22,IF((A6*(1-'Simulation BSA'!$B$21))&gt;='Simulation BSA'!$B$23,'Simulation BSA'!$B$23,(A6*(1-'Simulation BSA'!$B$21))))</f>
        <v>1500000</v>
      </c>
      <c r="E6" s="5">
        <f>D6/'Simulation BSA'!$B$18</f>
        <v>25.63883428766772</v>
      </c>
      <c r="G6" s="49" t="s">
        <v>50</v>
      </c>
      <c r="H6" s="48">
        <f>((VLOOKUP('Simulation BSA'!$B$12,A2:E50,2,FALSE)-B2)/100)+1</f>
        <v>19</v>
      </c>
      <c r="I6" s="48">
        <f>H6</f>
        <v>19</v>
      </c>
      <c r="K6" s="4">
        <v>550000</v>
      </c>
      <c r="L6" s="4">
        <v>5</v>
      </c>
    </row>
    <row r="7" spans="1:15" x14ac:dyDescent="0.25">
      <c r="A7" s="4">
        <v>1700000</v>
      </c>
      <c r="B7" s="46">
        <f t="shared" si="0"/>
        <v>1700</v>
      </c>
      <c r="C7" s="5">
        <f>A7/'Simulation BSA'!$B$18</f>
        <v>29.057345526023418</v>
      </c>
      <c r="D7" s="4">
        <f>IF((A7*(1-'Simulation BSA'!$B$21))&lt;='Simulation BSA'!$B$22,'Simulation BSA'!$B$22,IF((A7*(1-'Simulation BSA'!$B$21))&gt;='Simulation BSA'!$B$23,'Simulation BSA'!$B$23,(A7*(1-'Simulation BSA'!$B$21))))</f>
        <v>1500000</v>
      </c>
      <c r="E7" s="5">
        <f>D7/'Simulation BSA'!$B$18</f>
        <v>25.63883428766772</v>
      </c>
      <c r="G7" s="49" t="s">
        <v>51</v>
      </c>
      <c r="H7" s="48">
        <f>(VLOOKUP('Simulation BSA'!$B$12,A2:E50,3,FALSE))</f>
        <v>51.27766857533544</v>
      </c>
      <c r="I7" s="48">
        <f>((VLOOKUP('Simulation BSA'!$B$12,A2:E50,5,FALSE)))</f>
        <v>41.022134860268352</v>
      </c>
      <c r="K7" s="4">
        <v>600000</v>
      </c>
      <c r="L7" s="4">
        <v>6</v>
      </c>
    </row>
    <row r="8" spans="1:15" x14ac:dyDescent="0.25">
      <c r="A8" s="4">
        <v>1800000</v>
      </c>
      <c r="B8" s="46">
        <f t="shared" si="0"/>
        <v>1800</v>
      </c>
      <c r="C8" s="5">
        <f>A8/'Simulation BSA'!$B$18</f>
        <v>30.766601145201264</v>
      </c>
      <c r="D8" s="4">
        <f>IF((A8*(1-'Simulation BSA'!$B$21))&lt;='Simulation BSA'!$B$22,'Simulation BSA'!$B$22,IF((A8*(1-'Simulation BSA'!$B$21))&gt;='Simulation BSA'!$B$23,'Simulation BSA'!$B$23,(A8*(1-'Simulation BSA'!$B$21))))</f>
        <v>1500000</v>
      </c>
      <c r="E8" s="5">
        <f>D8/'Simulation BSA'!$B$18</f>
        <v>25.63883428766772</v>
      </c>
      <c r="K8" s="4">
        <v>650000</v>
      </c>
      <c r="L8" s="4">
        <v>7</v>
      </c>
    </row>
    <row r="9" spans="1:15" x14ac:dyDescent="0.25">
      <c r="A9" s="4">
        <v>1900000</v>
      </c>
      <c r="B9" s="46">
        <f t="shared" si="0"/>
        <v>1900</v>
      </c>
      <c r="C9" s="5">
        <f>A9/'Simulation BSA'!$B$18</f>
        <v>32.47585676437911</v>
      </c>
      <c r="D9" s="4">
        <f>IF((A9*(1-'Simulation BSA'!$B$21))&lt;='Simulation BSA'!$B$22,'Simulation BSA'!$B$22,IF((A9*(1-'Simulation BSA'!$B$21))&gt;='Simulation BSA'!$B$23,'Simulation BSA'!$B$23,(A9*(1-'Simulation BSA'!$B$21))))</f>
        <v>1520000</v>
      </c>
      <c r="E9" s="5">
        <f>D9/'Simulation BSA'!$B$18</f>
        <v>25.980685411503291</v>
      </c>
      <c r="K9" s="4">
        <v>700000</v>
      </c>
      <c r="L9" s="4">
        <v>8</v>
      </c>
    </row>
    <row r="10" spans="1:15" x14ac:dyDescent="0.25">
      <c r="A10" s="4">
        <v>2000000</v>
      </c>
      <c r="B10" s="46">
        <f t="shared" si="0"/>
        <v>2000</v>
      </c>
      <c r="C10" s="5">
        <f>A10/'Simulation BSA'!$B$18</f>
        <v>34.185112383556962</v>
      </c>
      <c r="D10" s="4">
        <f>IF((A10*(1-'Simulation BSA'!$B$21))&lt;='Simulation BSA'!$B$22,'Simulation BSA'!$B$22,IF((A10*(1-'Simulation BSA'!$B$21))&gt;='Simulation BSA'!$B$23,'Simulation BSA'!$B$23,(A10*(1-'Simulation BSA'!$B$21))))</f>
        <v>1600000</v>
      </c>
      <c r="E10" s="5">
        <f>D10/'Simulation BSA'!$B$18</f>
        <v>27.348089906845569</v>
      </c>
      <c r="K10" s="4">
        <v>750000</v>
      </c>
      <c r="L10" s="4">
        <v>9</v>
      </c>
    </row>
    <row r="11" spans="1:15" x14ac:dyDescent="0.25">
      <c r="A11" s="4">
        <v>2100000</v>
      </c>
      <c r="B11" s="46">
        <f t="shared" si="0"/>
        <v>2100</v>
      </c>
      <c r="C11" s="5">
        <f>A11/'Simulation BSA'!$B$18</f>
        <v>35.894368002734808</v>
      </c>
      <c r="D11" s="4">
        <f>IF((A11*(1-'Simulation BSA'!$B$21))&lt;='Simulation BSA'!$B$22,'Simulation BSA'!$B$22,IF((A11*(1-'Simulation BSA'!$B$21))&gt;='Simulation BSA'!$B$23,'Simulation BSA'!$B$23,(A11*(1-'Simulation BSA'!$B$21))))</f>
        <v>1680000</v>
      </c>
      <c r="E11" s="5">
        <f>D11/'Simulation BSA'!$B$18</f>
        <v>28.715494402187847</v>
      </c>
      <c r="K11" s="4">
        <v>800000</v>
      </c>
      <c r="L11" s="4">
        <v>10</v>
      </c>
    </row>
    <row r="12" spans="1:15" x14ac:dyDescent="0.25">
      <c r="A12" s="4">
        <v>2200000</v>
      </c>
      <c r="B12" s="46">
        <f t="shared" si="0"/>
        <v>2200</v>
      </c>
      <c r="C12" s="5">
        <f>A12/'Simulation BSA'!$B$18</f>
        <v>37.603623621912654</v>
      </c>
      <c r="D12" s="4">
        <f>IF((A12*(1-'Simulation BSA'!$B$21))&lt;='Simulation BSA'!$B$22,'Simulation BSA'!$B$22,IF((A12*(1-'Simulation BSA'!$B$21))&gt;='Simulation BSA'!$B$23,'Simulation BSA'!$B$23,(A12*(1-'Simulation BSA'!$B$21))))</f>
        <v>1760000</v>
      </c>
      <c r="E12" s="5">
        <f>D12/'Simulation BSA'!$B$18</f>
        <v>30.082898897530125</v>
      </c>
      <c r="K12" s="4">
        <v>850000</v>
      </c>
      <c r="L12" s="4">
        <v>11</v>
      </c>
    </row>
    <row r="13" spans="1:15" x14ac:dyDescent="0.25">
      <c r="A13" s="4">
        <v>2300000</v>
      </c>
      <c r="B13" s="46">
        <f t="shared" si="0"/>
        <v>2300</v>
      </c>
      <c r="C13" s="5">
        <f>A13/'Simulation BSA'!$B$18</f>
        <v>39.312879241090506</v>
      </c>
      <c r="D13" s="4">
        <f>IF((A13*(1-'Simulation BSA'!$B$21))&lt;='Simulation BSA'!$B$22,'Simulation BSA'!$B$22,IF((A13*(1-'Simulation BSA'!$B$21))&gt;='Simulation BSA'!$B$23,'Simulation BSA'!$B$23,(A13*(1-'Simulation BSA'!$B$21))))</f>
        <v>1840000</v>
      </c>
      <c r="E13" s="5">
        <f>D13/'Simulation BSA'!$B$18</f>
        <v>31.450303392872403</v>
      </c>
      <c r="K13" s="4">
        <v>900000</v>
      </c>
      <c r="L13" s="4">
        <v>12</v>
      </c>
    </row>
    <row r="14" spans="1:15" x14ac:dyDescent="0.25">
      <c r="A14" s="4">
        <v>2400000</v>
      </c>
      <c r="B14" s="46">
        <f t="shared" si="0"/>
        <v>2400</v>
      </c>
      <c r="C14" s="5">
        <f>A14/'Simulation BSA'!$B$18</f>
        <v>41.022134860268352</v>
      </c>
      <c r="D14" s="4">
        <f>IF((A14*(1-'Simulation BSA'!$B$21))&lt;='Simulation BSA'!$B$22,'Simulation BSA'!$B$22,IF((A14*(1-'Simulation BSA'!$B$21))&gt;='Simulation BSA'!$B$23,'Simulation BSA'!$B$23,(A14*(1-'Simulation BSA'!$B$21))))</f>
        <v>1920000</v>
      </c>
      <c r="E14" s="5">
        <f>D14/'Simulation BSA'!$B$18</f>
        <v>32.817707888214684</v>
      </c>
      <c r="K14" s="4">
        <v>950000</v>
      </c>
      <c r="L14" s="4">
        <v>13</v>
      </c>
    </row>
    <row r="15" spans="1:15" x14ac:dyDescent="0.25">
      <c r="A15" s="4">
        <v>2500000</v>
      </c>
      <c r="B15" s="46">
        <f t="shared" si="0"/>
        <v>2500</v>
      </c>
      <c r="C15" s="5">
        <f>A15/'Simulation BSA'!$B$18</f>
        <v>42.731390479446205</v>
      </c>
      <c r="D15" s="4">
        <f>IF((A15*(1-'Simulation BSA'!$B$21))&lt;='Simulation BSA'!$B$22,'Simulation BSA'!$B$22,IF((A15*(1-'Simulation BSA'!$B$21))&gt;='Simulation BSA'!$B$23,'Simulation BSA'!$B$23,(A15*(1-'Simulation BSA'!$B$21))))</f>
        <v>2000000</v>
      </c>
      <c r="E15" s="5">
        <f>D15/'Simulation BSA'!$B$18</f>
        <v>34.185112383556962</v>
      </c>
      <c r="K15" s="4">
        <v>1000000</v>
      </c>
      <c r="L15" s="4">
        <v>14</v>
      </c>
    </row>
    <row r="16" spans="1:15" x14ac:dyDescent="0.25">
      <c r="A16" s="4">
        <v>2600000</v>
      </c>
      <c r="B16" s="46">
        <f t="shared" si="0"/>
        <v>2600</v>
      </c>
      <c r="C16" s="5">
        <f>A16/'Simulation BSA'!$B$18</f>
        <v>44.44064609862405</v>
      </c>
      <c r="D16" s="4">
        <f>IF((A16*(1-'Simulation BSA'!$B$21))&lt;='Simulation BSA'!$B$22,'Simulation BSA'!$B$22,IF((A16*(1-'Simulation BSA'!$B$21))&gt;='Simulation BSA'!$B$23,'Simulation BSA'!$B$23,(A16*(1-'Simulation BSA'!$B$21))))</f>
        <v>2080000</v>
      </c>
      <c r="E16" s="5">
        <f>D16/'Simulation BSA'!$B$18</f>
        <v>35.55251687889924</v>
      </c>
      <c r="K16" s="4">
        <v>1050000</v>
      </c>
      <c r="L16" s="4">
        <v>15</v>
      </c>
    </row>
    <row r="17" spans="1:12" x14ac:dyDescent="0.25">
      <c r="A17" s="4">
        <v>2700000</v>
      </c>
      <c r="B17" s="46">
        <f t="shared" si="0"/>
        <v>2700</v>
      </c>
      <c r="C17" s="5">
        <f>A17/'Simulation BSA'!$B$18</f>
        <v>46.149901717801896</v>
      </c>
      <c r="D17" s="4">
        <f>IF((A17*(1-'Simulation BSA'!$B$21))&lt;='Simulation BSA'!$B$22,'Simulation BSA'!$B$22,IF((A17*(1-'Simulation BSA'!$B$21))&gt;='Simulation BSA'!$B$23,'Simulation BSA'!$B$23,(A17*(1-'Simulation BSA'!$B$21))))</f>
        <v>2160000</v>
      </c>
      <c r="E17" s="5">
        <f>D17/'Simulation BSA'!$B$18</f>
        <v>36.919921374241518</v>
      </c>
      <c r="K17" s="4">
        <v>1100000</v>
      </c>
      <c r="L17" s="4">
        <v>16</v>
      </c>
    </row>
    <row r="18" spans="1:12" x14ac:dyDescent="0.25">
      <c r="A18" s="4">
        <v>2800000</v>
      </c>
      <c r="B18" s="46">
        <f t="shared" si="0"/>
        <v>2800</v>
      </c>
      <c r="C18" s="5">
        <f>A18/'Simulation BSA'!$B$18</f>
        <v>47.859157336979749</v>
      </c>
      <c r="D18" s="4">
        <f>IF((A18*(1-'Simulation BSA'!$B$21))&lt;='Simulation BSA'!$B$22,'Simulation BSA'!$B$22,IF((A18*(1-'Simulation BSA'!$B$21))&gt;='Simulation BSA'!$B$23,'Simulation BSA'!$B$23,(A18*(1-'Simulation BSA'!$B$21))))</f>
        <v>2240000</v>
      </c>
      <c r="E18" s="5">
        <f>D18/'Simulation BSA'!$B$18</f>
        <v>38.287325869583796</v>
      </c>
      <c r="K18" s="4">
        <v>1150000</v>
      </c>
      <c r="L18" s="4">
        <v>17</v>
      </c>
    </row>
    <row r="19" spans="1:12" x14ac:dyDescent="0.25">
      <c r="A19" s="4">
        <v>2900000</v>
      </c>
      <c r="B19" s="46">
        <f t="shared" si="0"/>
        <v>2900</v>
      </c>
      <c r="C19" s="5">
        <f>A19/'Simulation BSA'!$B$18</f>
        <v>49.568412956157594</v>
      </c>
      <c r="D19" s="4">
        <f>IF((A19*(1-'Simulation BSA'!$B$21))&lt;='Simulation BSA'!$B$22,'Simulation BSA'!$B$22,IF((A19*(1-'Simulation BSA'!$B$21))&gt;='Simulation BSA'!$B$23,'Simulation BSA'!$B$23,(A19*(1-'Simulation BSA'!$B$21))))</f>
        <v>2320000</v>
      </c>
      <c r="E19" s="5">
        <f>D19/'Simulation BSA'!$B$18</f>
        <v>39.654730364926074</v>
      </c>
      <c r="L19" s="4">
        <v>18</v>
      </c>
    </row>
    <row r="20" spans="1:12" x14ac:dyDescent="0.25">
      <c r="A20" s="4">
        <v>3000000</v>
      </c>
      <c r="B20" s="46">
        <f t="shared" si="0"/>
        <v>3000</v>
      </c>
      <c r="C20" s="5">
        <f>A20/'Simulation BSA'!$B$18</f>
        <v>51.27766857533544</v>
      </c>
      <c r="D20" s="4">
        <f>IF((A20*(1-'Simulation BSA'!$B$21))&lt;='Simulation BSA'!$B$22,'Simulation BSA'!$B$22,IF((A20*(1-'Simulation BSA'!$B$21))&gt;='Simulation BSA'!$B$23,'Simulation BSA'!$B$23,(A20*(1-'Simulation BSA'!$B$21))))</f>
        <v>2400000</v>
      </c>
      <c r="E20" s="5">
        <f>D20/'Simulation BSA'!$B$18</f>
        <v>41.022134860268352</v>
      </c>
      <c r="L20" s="4">
        <v>19</v>
      </c>
    </row>
    <row r="21" spans="1:12" x14ac:dyDescent="0.25">
      <c r="A21" s="4">
        <v>3100000</v>
      </c>
      <c r="B21" s="46">
        <f t="shared" si="0"/>
        <v>3100</v>
      </c>
      <c r="C21" s="5">
        <f>A21/'Simulation BSA'!$B$18</f>
        <v>52.986924194513293</v>
      </c>
      <c r="D21" s="4">
        <f>IF((A21*(1-'Simulation BSA'!$B$21))&lt;='Simulation BSA'!$B$22,'Simulation BSA'!$B$22,IF((A21*(1-'Simulation BSA'!$B$21))&gt;='Simulation BSA'!$B$23,'Simulation BSA'!$B$23,(A21*(1-'Simulation BSA'!$B$21))))</f>
        <v>2480000</v>
      </c>
      <c r="E21" s="5">
        <f>D21/'Simulation BSA'!$B$18</f>
        <v>42.38953935561063</v>
      </c>
      <c r="L21" s="4">
        <v>20</v>
      </c>
    </row>
    <row r="22" spans="1:12" x14ac:dyDescent="0.25">
      <c r="A22" s="4">
        <v>3200000</v>
      </c>
      <c r="B22" s="46">
        <f t="shared" si="0"/>
        <v>3200</v>
      </c>
      <c r="C22" s="5">
        <f>A22/'Simulation BSA'!$B$18</f>
        <v>54.696179813691138</v>
      </c>
      <c r="D22" s="4">
        <f>IF((A22*(1-'Simulation BSA'!$B$21))&lt;='Simulation BSA'!$B$22,'Simulation BSA'!$B$22,IF((A22*(1-'Simulation BSA'!$B$21))&gt;='Simulation BSA'!$B$23,'Simulation BSA'!$B$23,(A22*(1-'Simulation BSA'!$B$21))))</f>
        <v>2560000</v>
      </c>
      <c r="E22" s="5">
        <f>D22/'Simulation BSA'!$B$18</f>
        <v>43.756943850952908</v>
      </c>
      <c r="L22" s="4">
        <v>21</v>
      </c>
    </row>
    <row r="23" spans="1:12" x14ac:dyDescent="0.25">
      <c r="A23" s="4">
        <v>3300000</v>
      </c>
      <c r="B23" s="46">
        <f t="shared" si="0"/>
        <v>3300</v>
      </c>
      <c r="C23" s="5">
        <f>A23/'Simulation BSA'!$B$18</f>
        <v>56.405435432868984</v>
      </c>
      <c r="D23" s="4">
        <f>IF((A23*(1-'Simulation BSA'!$B$21))&lt;='Simulation BSA'!$B$22,'Simulation BSA'!$B$22,IF((A23*(1-'Simulation BSA'!$B$21))&gt;='Simulation BSA'!$B$23,'Simulation BSA'!$B$23,(A23*(1-'Simulation BSA'!$B$21))))</f>
        <v>2640000</v>
      </c>
      <c r="E23" s="5">
        <f>D23/'Simulation BSA'!$B$18</f>
        <v>45.124348346295186</v>
      </c>
      <c r="L23" s="4">
        <v>22</v>
      </c>
    </row>
    <row r="24" spans="1:12" x14ac:dyDescent="0.25">
      <c r="A24" s="4">
        <v>3400000</v>
      </c>
      <c r="B24" s="46">
        <f t="shared" si="0"/>
        <v>3400</v>
      </c>
      <c r="C24" s="5">
        <f>A24/'Simulation BSA'!$B$18</f>
        <v>58.114691052046837</v>
      </c>
      <c r="D24" s="4">
        <f>IF((A24*(1-'Simulation BSA'!$B$21))&lt;='Simulation BSA'!$B$22,'Simulation BSA'!$B$22,IF((A24*(1-'Simulation BSA'!$B$21))&gt;='Simulation BSA'!$B$23,'Simulation BSA'!$B$23,(A24*(1-'Simulation BSA'!$B$21))))</f>
        <v>2720000</v>
      </c>
      <c r="E24" s="5">
        <f>D24/'Simulation BSA'!$B$18</f>
        <v>46.491752841637464</v>
      </c>
      <c r="L24" s="4">
        <v>23</v>
      </c>
    </row>
    <row r="25" spans="1:12" x14ac:dyDescent="0.25">
      <c r="A25" s="4">
        <v>3500000</v>
      </c>
      <c r="B25" s="46">
        <f t="shared" si="0"/>
        <v>3500</v>
      </c>
      <c r="C25" s="5">
        <f>A25/'Simulation BSA'!$B$18</f>
        <v>59.823946671224682</v>
      </c>
      <c r="D25" s="4">
        <f>IF((A25*(1-'Simulation BSA'!$B$21))&lt;='Simulation BSA'!$B$22,'Simulation BSA'!$B$22,IF((A25*(1-'Simulation BSA'!$B$21))&gt;='Simulation BSA'!$B$23,'Simulation BSA'!$B$23,(A25*(1-'Simulation BSA'!$B$21))))</f>
        <v>2800000</v>
      </c>
      <c r="E25" s="5">
        <f>D25/'Simulation BSA'!$B$18</f>
        <v>47.859157336979749</v>
      </c>
      <c r="L25" s="4">
        <v>24</v>
      </c>
    </row>
    <row r="26" spans="1:12" x14ac:dyDescent="0.25">
      <c r="A26" s="4">
        <v>3600000</v>
      </c>
      <c r="B26" s="46">
        <f t="shared" si="0"/>
        <v>3600</v>
      </c>
      <c r="C26" s="5">
        <f>A26/'Simulation BSA'!$B$18</f>
        <v>61.533202290402528</v>
      </c>
      <c r="D26" s="4">
        <f>IF((A26*(1-'Simulation BSA'!$B$21))&lt;='Simulation BSA'!$B$22,'Simulation BSA'!$B$22,IF((A26*(1-'Simulation BSA'!$B$21))&gt;='Simulation BSA'!$B$23,'Simulation BSA'!$B$23,(A26*(1-'Simulation BSA'!$B$21))))</f>
        <v>2880000</v>
      </c>
      <c r="E26" s="5">
        <f>D26/'Simulation BSA'!$B$18</f>
        <v>49.226561832322027</v>
      </c>
      <c r="L26" s="4">
        <v>25</v>
      </c>
    </row>
    <row r="27" spans="1:12" x14ac:dyDescent="0.25">
      <c r="A27" s="4">
        <v>3700000</v>
      </c>
      <c r="B27" s="46">
        <f t="shared" si="0"/>
        <v>3700</v>
      </c>
      <c r="C27" s="5">
        <f>A27/'Simulation BSA'!$B$18</f>
        <v>63.242457909580381</v>
      </c>
      <c r="D27" s="4">
        <f>IF((A27*(1-'Simulation BSA'!$B$21))&lt;='Simulation BSA'!$B$22,'Simulation BSA'!$B$22,IF((A27*(1-'Simulation BSA'!$B$21))&gt;='Simulation BSA'!$B$23,'Simulation BSA'!$B$23,(A27*(1-'Simulation BSA'!$B$21))))</f>
        <v>2960000</v>
      </c>
      <c r="E27" s="5">
        <f>D27/'Simulation BSA'!$B$18</f>
        <v>50.593966327664305</v>
      </c>
      <c r="L27" s="4">
        <v>26</v>
      </c>
    </row>
    <row r="28" spans="1:12" x14ac:dyDescent="0.25">
      <c r="A28" s="4">
        <v>3800000</v>
      </c>
      <c r="B28" s="46">
        <f t="shared" si="0"/>
        <v>3800</v>
      </c>
      <c r="C28" s="5">
        <f>A28/'Simulation BSA'!$B$18</f>
        <v>64.951713528758219</v>
      </c>
      <c r="D28" s="4">
        <f>IF((A28*(1-'Simulation BSA'!$B$21))&lt;='Simulation BSA'!$B$22,'Simulation BSA'!$B$22,IF((A28*(1-'Simulation BSA'!$B$21))&gt;='Simulation BSA'!$B$23,'Simulation BSA'!$B$23,(A28*(1-'Simulation BSA'!$B$21))))</f>
        <v>3000000</v>
      </c>
      <c r="E28" s="5">
        <f>D28/'Simulation BSA'!$B$18</f>
        <v>51.27766857533544</v>
      </c>
      <c r="L28" s="4">
        <v>27</v>
      </c>
    </row>
    <row r="29" spans="1:12" x14ac:dyDescent="0.25">
      <c r="A29" s="4">
        <v>3900000</v>
      </c>
      <c r="B29" s="46">
        <f t="shared" si="0"/>
        <v>3900</v>
      </c>
      <c r="C29" s="5">
        <f>A29/'Simulation BSA'!$B$18</f>
        <v>66.660969147936072</v>
      </c>
      <c r="D29" s="4">
        <f>IF((A29*(1-'Simulation BSA'!$B$21))&lt;='Simulation BSA'!$B$22,'Simulation BSA'!$B$22,IF((A29*(1-'Simulation BSA'!$B$21))&gt;='Simulation BSA'!$B$23,'Simulation BSA'!$B$23,(A29*(1-'Simulation BSA'!$B$21))))</f>
        <v>3000000</v>
      </c>
      <c r="E29" s="5">
        <f>D29/'Simulation BSA'!$B$18</f>
        <v>51.27766857533544</v>
      </c>
      <c r="L29" s="4">
        <v>28</v>
      </c>
    </row>
    <row r="30" spans="1:12" x14ac:dyDescent="0.25">
      <c r="A30" s="4">
        <v>4000000</v>
      </c>
      <c r="B30" s="46">
        <f t="shared" si="0"/>
        <v>4000</v>
      </c>
      <c r="C30" s="5">
        <f>A30/'Simulation BSA'!$B$18</f>
        <v>68.370224767113925</v>
      </c>
      <c r="D30" s="4">
        <f>IF((A30*(1-'Simulation BSA'!$B$21))&lt;='Simulation BSA'!$B$22,'Simulation BSA'!$B$22,IF((A30*(1-'Simulation BSA'!$B$21))&gt;='Simulation BSA'!$B$23,'Simulation BSA'!$B$23,(A30*(1-'Simulation BSA'!$B$21))))</f>
        <v>3000000</v>
      </c>
      <c r="E30" s="5">
        <f>D30/'Simulation BSA'!$B$18</f>
        <v>51.27766857533544</v>
      </c>
      <c r="L30" s="4">
        <v>29</v>
      </c>
    </row>
    <row r="31" spans="1:12" x14ac:dyDescent="0.25">
      <c r="A31" s="4">
        <v>4100000</v>
      </c>
      <c r="B31" s="46">
        <f t="shared" si="0"/>
        <v>4100</v>
      </c>
      <c r="C31" s="5">
        <f>A31/'Simulation BSA'!$B$18</f>
        <v>70.079480386291763</v>
      </c>
      <c r="D31" s="4">
        <f>IF((A31*(1-'Simulation BSA'!$B$21))&lt;='Simulation BSA'!$B$22,'Simulation BSA'!$B$22,IF((A31*(1-'Simulation BSA'!$B$21))&gt;='Simulation BSA'!$B$23,'Simulation BSA'!$B$23,(A31*(1-'Simulation BSA'!$B$21))))</f>
        <v>3000000</v>
      </c>
      <c r="E31" s="5">
        <f>D31/'Simulation BSA'!$B$18</f>
        <v>51.27766857533544</v>
      </c>
      <c r="L31" s="4">
        <v>30</v>
      </c>
    </row>
    <row r="32" spans="1:12" x14ac:dyDescent="0.25">
      <c r="A32" s="4">
        <v>4200000</v>
      </c>
      <c r="B32" s="46">
        <f t="shared" si="0"/>
        <v>4200</v>
      </c>
      <c r="C32" s="5">
        <f>A32/'Simulation BSA'!$B$18</f>
        <v>71.788736005469616</v>
      </c>
      <c r="D32" s="4">
        <f>IF((A32*(1-'Simulation BSA'!$B$21))&lt;='Simulation BSA'!$B$22,'Simulation BSA'!$B$22,IF((A32*(1-'Simulation BSA'!$B$21))&gt;='Simulation BSA'!$B$23,'Simulation BSA'!$B$23,(A32*(1-'Simulation BSA'!$B$21))))</f>
        <v>3000000</v>
      </c>
      <c r="E32" s="5">
        <f>D32/'Simulation BSA'!$B$18</f>
        <v>51.27766857533544</v>
      </c>
    </row>
    <row r="33" spans="1:5" x14ac:dyDescent="0.25">
      <c r="A33" s="4">
        <v>4300000</v>
      </c>
      <c r="B33" s="46">
        <f t="shared" si="0"/>
        <v>4300</v>
      </c>
      <c r="C33" s="5">
        <f>A33/'Simulation BSA'!$B$18</f>
        <v>73.497991624647469</v>
      </c>
      <c r="D33" s="4">
        <f>IF((A33*(1-'Simulation BSA'!$B$21))&lt;='Simulation BSA'!$B$22,'Simulation BSA'!$B$22,IF((A33*(1-'Simulation BSA'!$B$21))&gt;='Simulation BSA'!$B$23,'Simulation BSA'!$B$23,(A33*(1-'Simulation BSA'!$B$21))))</f>
        <v>3000000</v>
      </c>
      <c r="E33" s="5">
        <f>D33/'Simulation BSA'!$B$18</f>
        <v>51.27766857533544</v>
      </c>
    </row>
    <row r="34" spans="1:5" x14ac:dyDescent="0.25">
      <c r="A34" s="4">
        <v>4400000</v>
      </c>
      <c r="B34" s="46">
        <f t="shared" si="0"/>
        <v>4400</v>
      </c>
      <c r="C34" s="5">
        <f>A34/'Simulation BSA'!$B$18</f>
        <v>75.207247243825307</v>
      </c>
      <c r="D34" s="4">
        <f>IF((A34*(1-'Simulation BSA'!$B$21))&lt;='Simulation BSA'!$B$22,'Simulation BSA'!$B$22,IF((A34*(1-'Simulation BSA'!$B$21))&gt;='Simulation BSA'!$B$23,'Simulation BSA'!$B$23,(A34*(1-'Simulation BSA'!$B$21))))</f>
        <v>3000000</v>
      </c>
      <c r="E34" s="5">
        <f>D34/'Simulation BSA'!$B$18</f>
        <v>51.27766857533544</v>
      </c>
    </row>
    <row r="35" spans="1:5" x14ac:dyDescent="0.25">
      <c r="A35" s="4">
        <v>4500000</v>
      </c>
      <c r="B35" s="46">
        <f t="shared" si="0"/>
        <v>4500</v>
      </c>
      <c r="C35" s="5">
        <f>A35/'Simulation BSA'!$B$18</f>
        <v>76.91650286300316</v>
      </c>
      <c r="D35" s="4">
        <f>IF((A35*(1-'Simulation BSA'!$B$21))&lt;='Simulation BSA'!$B$22,'Simulation BSA'!$B$22,IF((A35*(1-'Simulation BSA'!$B$21))&gt;='Simulation BSA'!$B$23,'Simulation BSA'!$B$23,(A35*(1-'Simulation BSA'!$B$21))))</f>
        <v>3000000</v>
      </c>
      <c r="E35" s="5">
        <f>D35/'Simulation BSA'!$B$18</f>
        <v>51.27766857533544</v>
      </c>
    </row>
    <row r="36" spans="1:5" x14ac:dyDescent="0.25">
      <c r="A36" s="4">
        <v>4600000</v>
      </c>
      <c r="B36" s="46">
        <f t="shared" si="0"/>
        <v>4600</v>
      </c>
      <c r="C36" s="5">
        <f>A36/'Simulation BSA'!$B$18</f>
        <v>78.625758482181013</v>
      </c>
      <c r="D36" s="4">
        <f>IF((A36*(1-'Simulation BSA'!$B$21))&lt;='Simulation BSA'!$B$22,'Simulation BSA'!$B$22,IF((A36*(1-'Simulation BSA'!$B$21))&gt;='Simulation BSA'!$B$23,'Simulation BSA'!$B$23,(A36*(1-'Simulation BSA'!$B$21))))</f>
        <v>3000000</v>
      </c>
      <c r="E36" s="5">
        <f>D36/'Simulation BSA'!$B$18</f>
        <v>51.27766857533544</v>
      </c>
    </row>
    <row r="37" spans="1:5" x14ac:dyDescent="0.25">
      <c r="A37" s="4">
        <v>4700000</v>
      </c>
      <c r="B37" s="46">
        <f t="shared" si="0"/>
        <v>4700</v>
      </c>
      <c r="C37" s="5">
        <f>A37/'Simulation BSA'!$B$18</f>
        <v>80.335014101358851</v>
      </c>
      <c r="D37" s="4">
        <f>IF((A37*(1-'Simulation BSA'!$B$21))&lt;='Simulation BSA'!$B$22,'Simulation BSA'!$B$22,IF((A37*(1-'Simulation BSA'!$B$21))&gt;='Simulation BSA'!$B$23,'Simulation BSA'!$B$23,(A37*(1-'Simulation BSA'!$B$21))))</f>
        <v>3000000</v>
      </c>
      <c r="E37" s="5">
        <f>D37/'Simulation BSA'!$B$18</f>
        <v>51.27766857533544</v>
      </c>
    </row>
    <row r="38" spans="1:5" x14ac:dyDescent="0.25">
      <c r="A38" s="4">
        <v>4800000</v>
      </c>
      <c r="B38" s="46">
        <f t="shared" si="0"/>
        <v>4800</v>
      </c>
      <c r="C38" s="5">
        <f>A38/'Simulation BSA'!$B$18</f>
        <v>82.044269720536704</v>
      </c>
      <c r="D38" s="4">
        <f>IF((A38*(1-'Simulation BSA'!$B$21))&lt;='Simulation BSA'!$B$22,'Simulation BSA'!$B$22,IF((A38*(1-'Simulation BSA'!$B$21))&gt;='Simulation BSA'!$B$23,'Simulation BSA'!$B$23,(A38*(1-'Simulation BSA'!$B$21))))</f>
        <v>3000000</v>
      </c>
      <c r="E38" s="5">
        <f>D38/'Simulation BSA'!$B$18</f>
        <v>51.27766857533544</v>
      </c>
    </row>
    <row r="39" spans="1:5" x14ac:dyDescent="0.25">
      <c r="A39" s="4">
        <v>4900000</v>
      </c>
      <c r="B39" s="46">
        <f t="shared" si="0"/>
        <v>4900</v>
      </c>
      <c r="C39" s="5">
        <f>A39/'Simulation BSA'!$B$18</f>
        <v>83.753525339714557</v>
      </c>
      <c r="D39" s="4">
        <f>IF((A39*(1-'Simulation BSA'!$B$21))&lt;='Simulation BSA'!$B$22,'Simulation BSA'!$B$22,IF((A39*(1-'Simulation BSA'!$B$21))&gt;='Simulation BSA'!$B$23,'Simulation BSA'!$B$23,(A39*(1-'Simulation BSA'!$B$21))))</f>
        <v>3000000</v>
      </c>
      <c r="E39" s="5">
        <f>D39/'Simulation BSA'!$B$18</f>
        <v>51.27766857533544</v>
      </c>
    </row>
    <row r="40" spans="1:5" x14ac:dyDescent="0.25">
      <c r="A40" s="4">
        <v>5000000</v>
      </c>
      <c r="B40" s="46">
        <f t="shared" si="0"/>
        <v>5000</v>
      </c>
      <c r="C40" s="5">
        <f>A40/'Simulation BSA'!$B$18</f>
        <v>85.462780958892409</v>
      </c>
      <c r="D40" s="4">
        <f>IF((A40*(1-'Simulation BSA'!$B$21))&lt;='Simulation BSA'!$B$22,'Simulation BSA'!$B$22,IF((A40*(1-'Simulation BSA'!$B$21))&gt;='Simulation BSA'!$B$23,'Simulation BSA'!$B$23,(A40*(1-'Simulation BSA'!$B$21))))</f>
        <v>3000000</v>
      </c>
      <c r="E40" s="5">
        <f>D40/'Simulation BSA'!$B$18</f>
        <v>51.27766857533544</v>
      </c>
    </row>
    <row r="41" spans="1:5" x14ac:dyDescent="0.25">
      <c r="A41" s="4">
        <v>5100000</v>
      </c>
      <c r="B41" s="46">
        <f t="shared" si="0"/>
        <v>5100</v>
      </c>
      <c r="C41" s="5">
        <f>A41/'Simulation BSA'!$B$18</f>
        <v>87.172036578070248</v>
      </c>
      <c r="D41" s="4">
        <f>IF((A41*(1-'Simulation BSA'!$B$21))&lt;='Simulation BSA'!$B$22,'Simulation BSA'!$B$22,IF((A41*(1-'Simulation BSA'!$B$21))&gt;='Simulation BSA'!$B$23,'Simulation BSA'!$B$23,(A41*(1-'Simulation BSA'!$B$21))))</f>
        <v>3000000</v>
      </c>
      <c r="E41" s="5">
        <f>D41/'Simulation BSA'!$B$18</f>
        <v>51.27766857533544</v>
      </c>
    </row>
    <row r="42" spans="1:5" x14ac:dyDescent="0.25">
      <c r="A42" s="4">
        <v>5200000</v>
      </c>
      <c r="B42" s="46">
        <f t="shared" si="0"/>
        <v>5200</v>
      </c>
      <c r="C42" s="5">
        <f>A42/'Simulation BSA'!$B$18</f>
        <v>88.881292197248101</v>
      </c>
      <c r="D42" s="4">
        <f>IF((A42*(1-'Simulation BSA'!$B$21))&lt;='Simulation BSA'!$B$22,'Simulation BSA'!$B$22,IF((A42*(1-'Simulation BSA'!$B$21))&gt;='Simulation BSA'!$B$23,'Simulation BSA'!$B$23,(A42*(1-'Simulation BSA'!$B$21))))</f>
        <v>3000000</v>
      </c>
      <c r="E42" s="5">
        <f>D42/'Simulation BSA'!$B$18</f>
        <v>51.27766857533544</v>
      </c>
    </row>
    <row r="43" spans="1:5" x14ac:dyDescent="0.25">
      <c r="A43" s="4">
        <v>5300000</v>
      </c>
      <c r="B43" s="46">
        <f t="shared" si="0"/>
        <v>5300</v>
      </c>
      <c r="C43" s="5">
        <f>A43/'Simulation BSA'!$B$18</f>
        <v>90.590547816425953</v>
      </c>
      <c r="D43" s="4">
        <f>IF((A43*(1-'Simulation BSA'!$B$21))&lt;='Simulation BSA'!$B$22,'Simulation BSA'!$B$22,IF((A43*(1-'Simulation BSA'!$B$21))&gt;='Simulation BSA'!$B$23,'Simulation BSA'!$B$23,(A43*(1-'Simulation BSA'!$B$21))))</f>
        <v>3000000</v>
      </c>
      <c r="E43" s="5">
        <f>D43/'Simulation BSA'!$B$18</f>
        <v>51.27766857533544</v>
      </c>
    </row>
    <row r="44" spans="1:5" x14ac:dyDescent="0.25">
      <c r="A44" s="4">
        <v>5400000</v>
      </c>
      <c r="B44" s="46">
        <f t="shared" si="0"/>
        <v>5400</v>
      </c>
      <c r="C44" s="5">
        <f>A44/'Simulation BSA'!$B$18</f>
        <v>92.299803435603792</v>
      </c>
      <c r="D44" s="4">
        <f>IF((A44*(1-'Simulation BSA'!$B$21))&lt;='Simulation BSA'!$B$22,'Simulation BSA'!$B$22,IF((A44*(1-'Simulation BSA'!$B$21))&gt;='Simulation BSA'!$B$23,'Simulation BSA'!$B$23,(A44*(1-'Simulation BSA'!$B$21))))</f>
        <v>3000000</v>
      </c>
      <c r="E44" s="5">
        <f>D44/'Simulation BSA'!$B$18</f>
        <v>51.27766857533544</v>
      </c>
    </row>
    <row r="45" spans="1:5" x14ac:dyDescent="0.25">
      <c r="A45" s="4">
        <v>5500000</v>
      </c>
      <c r="B45" s="46">
        <f t="shared" si="0"/>
        <v>5500</v>
      </c>
      <c r="C45" s="5">
        <f>A45/'Simulation BSA'!$B$18</f>
        <v>94.009059054781645</v>
      </c>
      <c r="D45" s="4">
        <f>IF((A45*(1-'Simulation BSA'!$B$21))&lt;='Simulation BSA'!$B$22,'Simulation BSA'!$B$22,IF((A45*(1-'Simulation BSA'!$B$21))&gt;='Simulation BSA'!$B$23,'Simulation BSA'!$B$23,(A45*(1-'Simulation BSA'!$B$21))))</f>
        <v>3000000</v>
      </c>
      <c r="E45" s="5">
        <f>D45/'Simulation BSA'!$B$18</f>
        <v>51.27766857533544</v>
      </c>
    </row>
    <row r="46" spans="1:5" x14ac:dyDescent="0.25">
      <c r="A46" s="4">
        <v>5600000</v>
      </c>
      <c r="B46" s="46">
        <f t="shared" si="0"/>
        <v>5600</v>
      </c>
      <c r="C46" s="5">
        <f>A46/'Simulation BSA'!$B$18</f>
        <v>95.718314673959497</v>
      </c>
      <c r="D46" s="4">
        <f>IF((A46*(1-'Simulation BSA'!$B$21))&lt;='Simulation BSA'!$B$22,'Simulation BSA'!$B$22,IF((A46*(1-'Simulation BSA'!$B$21))&gt;='Simulation BSA'!$B$23,'Simulation BSA'!$B$23,(A46*(1-'Simulation BSA'!$B$21))))</f>
        <v>3000000</v>
      </c>
      <c r="E46" s="5">
        <f>D46/'Simulation BSA'!$B$18</f>
        <v>51.27766857533544</v>
      </c>
    </row>
    <row r="47" spans="1:5" x14ac:dyDescent="0.25">
      <c r="A47" s="4">
        <v>5700000</v>
      </c>
      <c r="B47" s="46">
        <f t="shared" si="0"/>
        <v>5700</v>
      </c>
      <c r="C47" s="5">
        <f>A47/'Simulation BSA'!$B$18</f>
        <v>97.427570293137336</v>
      </c>
      <c r="D47" s="4">
        <f>IF((A47*(1-'Simulation BSA'!$B$21))&lt;='Simulation BSA'!$B$22,'Simulation BSA'!$B$22,IF((A47*(1-'Simulation BSA'!$B$21))&gt;='Simulation BSA'!$B$23,'Simulation BSA'!$B$23,(A47*(1-'Simulation BSA'!$B$21))))</f>
        <v>3000000</v>
      </c>
      <c r="E47" s="5">
        <f>D47/'Simulation BSA'!$B$18</f>
        <v>51.27766857533544</v>
      </c>
    </row>
    <row r="48" spans="1:5" x14ac:dyDescent="0.25">
      <c r="A48" s="4">
        <v>5800000</v>
      </c>
      <c r="B48" s="46">
        <f t="shared" si="0"/>
        <v>5800</v>
      </c>
      <c r="C48" s="5">
        <f>A48/'Simulation BSA'!$B$18</f>
        <v>99.136825912315189</v>
      </c>
      <c r="D48" s="4">
        <f>IF((A48*(1-'Simulation BSA'!$B$21))&lt;='Simulation BSA'!$B$22,'Simulation BSA'!$B$22,IF((A48*(1-'Simulation BSA'!$B$21))&gt;='Simulation BSA'!$B$23,'Simulation BSA'!$B$23,(A48*(1-'Simulation BSA'!$B$21))))</f>
        <v>3000000</v>
      </c>
      <c r="E48" s="5">
        <f>D48/'Simulation BSA'!$B$18</f>
        <v>51.27766857533544</v>
      </c>
    </row>
    <row r="49" spans="1:5" x14ac:dyDescent="0.25">
      <c r="A49" s="4">
        <v>5900000</v>
      </c>
      <c r="B49" s="46">
        <f t="shared" si="0"/>
        <v>5900</v>
      </c>
      <c r="C49" s="5">
        <f>A49/'Simulation BSA'!$B$18</f>
        <v>100.84608153149304</v>
      </c>
      <c r="D49" s="4">
        <f>IF((A49*(1-'Simulation BSA'!$B$21))&lt;='Simulation BSA'!$B$22,'Simulation BSA'!$B$22,IF((A49*(1-'Simulation BSA'!$B$21))&gt;='Simulation BSA'!$B$23,'Simulation BSA'!$B$23,(A49*(1-'Simulation BSA'!$B$21))))</f>
        <v>3000000</v>
      </c>
      <c r="E49" s="5">
        <f>D49/'Simulation BSA'!$B$18</f>
        <v>51.27766857533544</v>
      </c>
    </row>
    <row r="50" spans="1:5" x14ac:dyDescent="0.25">
      <c r="A50" s="4">
        <v>6000000</v>
      </c>
      <c r="B50" s="46">
        <f t="shared" si="0"/>
        <v>6000</v>
      </c>
      <c r="C50" s="5">
        <f>A50/'Simulation BSA'!$B$18</f>
        <v>102.55533715067088</v>
      </c>
      <c r="D50" s="4">
        <f>IF((A50*(1-'Simulation BSA'!$B$21))&lt;='Simulation BSA'!$B$22,'Simulation BSA'!$B$22,IF((A50*(1-'Simulation BSA'!$B$21))&gt;='Simulation BSA'!$B$23,'Simulation BSA'!$B$23,(A50*(1-'Simulation BSA'!$B$21))))</f>
        <v>3000000</v>
      </c>
      <c r="E50" s="5">
        <f>D50/'Simulation BSA'!$B$18</f>
        <v>51.27766857533544</v>
      </c>
    </row>
    <row r="51" spans="1:5" x14ac:dyDescent="0.25">
      <c r="A51" s="4">
        <v>6100000</v>
      </c>
    </row>
    <row r="52" spans="1:5" x14ac:dyDescent="0.25">
      <c r="A52" s="4">
        <v>6200000</v>
      </c>
    </row>
    <row r="53" spans="1:5" x14ac:dyDescent="0.25">
      <c r="A53" s="4">
        <v>6300000</v>
      </c>
    </row>
    <row r="54" spans="1:5" x14ac:dyDescent="0.25">
      <c r="A54" s="4">
        <v>6400000</v>
      </c>
    </row>
    <row r="55" spans="1:5" x14ac:dyDescent="0.25">
      <c r="A55" s="4">
        <v>6500000</v>
      </c>
    </row>
    <row r="56" spans="1:5" x14ac:dyDescent="0.25">
      <c r="A56" s="4">
        <v>6600000</v>
      </c>
    </row>
    <row r="57" spans="1:5" x14ac:dyDescent="0.25">
      <c r="A57" s="4">
        <v>6700000</v>
      </c>
    </row>
    <row r="58" spans="1:5" x14ac:dyDescent="0.25">
      <c r="A58" s="4">
        <v>6800000</v>
      </c>
    </row>
    <row r="59" spans="1:5" x14ac:dyDescent="0.25">
      <c r="A59" s="4">
        <v>6900000</v>
      </c>
    </row>
    <row r="60" spans="1:5" x14ac:dyDescent="0.25">
      <c r="A60" s="4">
        <v>7000000</v>
      </c>
    </row>
    <row r="61" spans="1:5" x14ac:dyDescent="0.25">
      <c r="A61" s="4">
        <v>7100000</v>
      </c>
    </row>
    <row r="62" spans="1:5" x14ac:dyDescent="0.25">
      <c r="A62" s="4">
        <v>7200000</v>
      </c>
    </row>
    <row r="63" spans="1:5" x14ac:dyDescent="0.25">
      <c r="A63" s="4">
        <v>7300000</v>
      </c>
    </row>
    <row r="64" spans="1:5" x14ac:dyDescent="0.25">
      <c r="A64" s="4">
        <v>7400000</v>
      </c>
    </row>
    <row r="65" spans="1:1" x14ac:dyDescent="0.25">
      <c r="A65" s="4">
        <v>7500000</v>
      </c>
    </row>
    <row r="66" spans="1:1" x14ac:dyDescent="0.25">
      <c r="A66" s="4">
        <v>7600000</v>
      </c>
    </row>
    <row r="67" spans="1:1" x14ac:dyDescent="0.25">
      <c r="A67" s="4">
        <v>7700000</v>
      </c>
    </row>
    <row r="68" spans="1:1" x14ac:dyDescent="0.25">
      <c r="A68" s="4">
        <v>7800000</v>
      </c>
    </row>
    <row r="69" spans="1:1" x14ac:dyDescent="0.25">
      <c r="A69" s="4">
        <v>7900000</v>
      </c>
    </row>
    <row r="70" spans="1:1" x14ac:dyDescent="0.25">
      <c r="A70" s="4">
        <v>8000000</v>
      </c>
    </row>
    <row r="71" spans="1:1" x14ac:dyDescent="0.25">
      <c r="A71" s="4">
        <v>8100000</v>
      </c>
    </row>
    <row r="72" spans="1:1" x14ac:dyDescent="0.25">
      <c r="A72" s="4">
        <v>8200000</v>
      </c>
    </row>
    <row r="73" spans="1:1" x14ac:dyDescent="0.25">
      <c r="A73" s="4">
        <v>8300000</v>
      </c>
    </row>
    <row r="74" spans="1:1" x14ac:dyDescent="0.25">
      <c r="A74" s="4">
        <v>8400000</v>
      </c>
    </row>
    <row r="75" spans="1:1" x14ac:dyDescent="0.25">
      <c r="A75" s="4">
        <v>8500000</v>
      </c>
    </row>
    <row r="76" spans="1:1" x14ac:dyDescent="0.25">
      <c r="A76" s="4">
        <v>8600000</v>
      </c>
    </row>
    <row r="77" spans="1:1" x14ac:dyDescent="0.25">
      <c r="A77" s="4">
        <v>8700000</v>
      </c>
    </row>
    <row r="78" spans="1:1" x14ac:dyDescent="0.25">
      <c r="A78" s="4">
        <v>8800000</v>
      </c>
    </row>
    <row r="79" spans="1:1" x14ac:dyDescent="0.25">
      <c r="A79" s="4">
        <v>8900000</v>
      </c>
    </row>
    <row r="80" spans="1:1" x14ac:dyDescent="0.25">
      <c r="A80" s="4">
        <v>9000000</v>
      </c>
    </row>
    <row r="81" spans="1:1" x14ac:dyDescent="0.25">
      <c r="A81" s="4">
        <v>9100000</v>
      </c>
    </row>
    <row r="82" spans="1:1" x14ac:dyDescent="0.25">
      <c r="A82" s="4">
        <v>9200000</v>
      </c>
    </row>
    <row r="83" spans="1:1" x14ac:dyDescent="0.25">
      <c r="A83" s="4">
        <v>9300000</v>
      </c>
    </row>
    <row r="84" spans="1:1" x14ac:dyDescent="0.25">
      <c r="A84" s="4">
        <v>9400000</v>
      </c>
    </row>
    <row r="85" spans="1:1" x14ac:dyDescent="0.25">
      <c r="A85" s="4">
        <v>9500000</v>
      </c>
    </row>
    <row r="86" spans="1:1" x14ac:dyDescent="0.25">
      <c r="A86" s="4">
        <v>9600000</v>
      </c>
    </row>
    <row r="87" spans="1:1" x14ac:dyDescent="0.25">
      <c r="A87" s="4">
        <v>9700000</v>
      </c>
    </row>
    <row r="88" spans="1:1" x14ac:dyDescent="0.25">
      <c r="A88" s="4">
        <v>9800000</v>
      </c>
    </row>
    <row r="89" spans="1:1" x14ac:dyDescent="0.25">
      <c r="A89" s="4">
        <v>9900000</v>
      </c>
    </row>
    <row r="90" spans="1:1" x14ac:dyDescent="0.25">
      <c r="A90" s="4">
        <v>10000000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Simulation BSA</vt:lpstr>
      <vt:lpstr>Data</vt:lpstr>
      <vt:lpstr>Levée</vt:lpstr>
      <vt:lpstr>Nombre_BSA</vt:lpstr>
      <vt:lpstr>Valorisation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</dc:creator>
  <cp:lastModifiedBy>Yann Gainche</cp:lastModifiedBy>
  <dcterms:created xsi:type="dcterms:W3CDTF">2019-09-06T09:28:54Z</dcterms:created>
  <dcterms:modified xsi:type="dcterms:W3CDTF">2024-10-12T17:38:20Z</dcterms:modified>
</cp:coreProperties>
</file>